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Kinetic" sheetId="1" r:id="rId1"/>
    <sheet name="Beam" sheetId="2" r:id="rId2"/>
    <sheet name="Missile" sheetId="5" r:id="rId3"/>
    <sheet name="Laser" sheetId="6" r:id="rId4"/>
    <sheet name="Balance" sheetId="7" r:id="rId5"/>
    <sheet name="Ships" sheetId="8" r:id="rId6"/>
    <sheet name="Shield" sheetId="9" r:id="rId7"/>
    <sheet name="Plating" sheetId="10" r:id="rId8"/>
  </sheets>
  <calcPr calcId="145621"/>
</workbook>
</file>

<file path=xl/calcChain.xml><?xml version="1.0" encoding="utf-8"?>
<calcChain xmlns="http://schemas.openxmlformats.org/spreadsheetml/2006/main">
  <c r="T20" i="9" l="1"/>
  <c r="S20" i="9"/>
  <c r="R20" i="9"/>
  <c r="T19" i="9"/>
  <c r="S19" i="9"/>
  <c r="R19" i="9"/>
  <c r="T16" i="9"/>
  <c r="S16" i="9"/>
  <c r="R16" i="9"/>
  <c r="T15" i="9"/>
  <c r="S15" i="9"/>
  <c r="R15" i="9"/>
  <c r="T12" i="9"/>
  <c r="S12" i="9"/>
  <c r="R12" i="9"/>
  <c r="T11" i="9"/>
  <c r="S11" i="9"/>
  <c r="R11" i="9"/>
  <c r="T8" i="9"/>
  <c r="S8" i="9"/>
  <c r="R8" i="9"/>
  <c r="T7" i="9"/>
  <c r="S7" i="9"/>
  <c r="R7" i="9"/>
  <c r="T4" i="9"/>
  <c r="S4" i="9"/>
  <c r="R4" i="9"/>
  <c r="W20" i="10"/>
  <c r="V20" i="10"/>
  <c r="U20" i="10"/>
  <c r="W19" i="10"/>
  <c r="V19" i="10"/>
  <c r="U19" i="10"/>
  <c r="W16" i="10"/>
  <c r="V16" i="10"/>
  <c r="U16" i="10"/>
  <c r="W15" i="10"/>
  <c r="V15" i="10"/>
  <c r="U15" i="10"/>
  <c r="W12" i="10"/>
  <c r="V12" i="10"/>
  <c r="U12" i="10"/>
  <c r="W11" i="10"/>
  <c r="V11" i="10"/>
  <c r="U11" i="10"/>
  <c r="W8" i="10"/>
  <c r="V8" i="10"/>
  <c r="U8" i="10"/>
  <c r="W7" i="10"/>
  <c r="V7" i="10"/>
  <c r="U7" i="10"/>
  <c r="W4" i="10"/>
  <c r="V4" i="10"/>
  <c r="U4" i="10"/>
  <c r="S4" i="10"/>
  <c r="S7" i="10"/>
  <c r="S8" i="10"/>
  <c r="M7" i="9"/>
  <c r="S12" i="10"/>
  <c r="S11" i="10"/>
  <c r="S16" i="10"/>
  <c r="S15" i="10"/>
  <c r="S20" i="10"/>
  <c r="S19" i="10"/>
  <c r="P20" i="9"/>
  <c r="P19" i="9"/>
  <c r="P16" i="9"/>
  <c r="P15" i="9"/>
  <c r="P12" i="9"/>
  <c r="P11" i="9"/>
  <c r="P8" i="9"/>
  <c r="P7" i="9"/>
  <c r="P4" i="9"/>
  <c r="N20" i="9"/>
  <c r="N19" i="9"/>
  <c r="N16" i="9"/>
  <c r="N15" i="9"/>
  <c r="N12" i="9"/>
  <c r="N11" i="9"/>
  <c r="N8" i="9"/>
  <c r="N7" i="9"/>
  <c r="N4" i="9"/>
  <c r="L20" i="9"/>
  <c r="L19" i="9"/>
  <c r="L16" i="9"/>
  <c r="L15" i="9"/>
  <c r="L4" i="9"/>
  <c r="L7" i="9"/>
  <c r="L8" i="9"/>
  <c r="L11" i="9"/>
  <c r="L12" i="9"/>
  <c r="O20" i="9"/>
  <c r="O19" i="9"/>
  <c r="O16" i="9"/>
  <c r="O15" i="9"/>
  <c r="O12" i="9"/>
  <c r="O11" i="9"/>
  <c r="O8" i="9"/>
  <c r="O7" i="9"/>
  <c r="O4" i="9"/>
  <c r="M20" i="9"/>
  <c r="M19" i="9"/>
  <c r="M16" i="9"/>
  <c r="M15" i="9"/>
  <c r="M12" i="9"/>
  <c r="M11" i="9"/>
  <c r="M8" i="9"/>
  <c r="M4" i="9"/>
  <c r="K20" i="9"/>
  <c r="K19" i="9"/>
  <c r="K16" i="9"/>
  <c r="K15" i="9"/>
  <c r="K12" i="9"/>
  <c r="K11" i="9"/>
  <c r="K8" i="9"/>
  <c r="K7" i="9"/>
  <c r="K4" i="9"/>
  <c r="G4" i="9"/>
  <c r="R16" i="10"/>
  <c r="R15" i="10"/>
  <c r="R12" i="10"/>
  <c r="R11" i="10"/>
  <c r="R8" i="10"/>
  <c r="R7" i="10"/>
  <c r="R4" i="10"/>
  <c r="P4" i="10"/>
  <c r="P7" i="10"/>
  <c r="P8" i="10"/>
  <c r="R19" i="10"/>
  <c r="R20" i="10"/>
  <c r="P20" i="10"/>
  <c r="P19" i="10"/>
  <c r="P16" i="10"/>
  <c r="P15" i="10"/>
  <c r="P12" i="10"/>
  <c r="P11" i="10"/>
  <c r="N20" i="10"/>
  <c r="N19" i="10"/>
  <c r="N16" i="10"/>
  <c r="N15" i="10"/>
  <c r="N12" i="10"/>
  <c r="N11" i="10"/>
  <c r="N8" i="10"/>
  <c r="N7" i="10"/>
  <c r="N4" i="10"/>
  <c r="Q20" i="10"/>
  <c r="O20" i="10"/>
  <c r="Q19" i="10"/>
  <c r="O19" i="10"/>
  <c r="Q16" i="10"/>
  <c r="O16" i="10"/>
  <c r="Q15" i="10"/>
  <c r="O15" i="10"/>
  <c r="Q12" i="10"/>
  <c r="O12" i="10"/>
  <c r="Q11" i="10"/>
  <c r="O11" i="10"/>
  <c r="Q8" i="10"/>
  <c r="O8" i="10"/>
  <c r="Q7" i="10"/>
  <c r="O7" i="10"/>
  <c r="Q4" i="10"/>
  <c r="O4" i="10"/>
  <c r="M4" i="10"/>
  <c r="M20" i="10"/>
  <c r="M19" i="10"/>
  <c r="M16" i="10"/>
  <c r="M15" i="10"/>
  <c r="M12" i="10"/>
  <c r="M11" i="10"/>
  <c r="M8" i="10"/>
  <c r="M7" i="10"/>
  <c r="M16" i="1" l="1"/>
  <c r="H4" i="9"/>
  <c r="H7" i="9"/>
  <c r="H8" i="9"/>
  <c r="H11" i="9"/>
  <c r="H12" i="9"/>
  <c r="H15" i="9"/>
  <c r="H16" i="9"/>
  <c r="H19" i="9"/>
  <c r="H20" i="9"/>
  <c r="M32" i="1"/>
  <c r="M31" i="1"/>
  <c r="M28" i="1"/>
  <c r="M27" i="1"/>
  <c r="M24" i="1"/>
  <c r="M23" i="1"/>
  <c r="M20" i="1"/>
  <c r="M19" i="1"/>
  <c r="L31" i="1"/>
  <c r="L32" i="1" s="1"/>
  <c r="L27" i="1"/>
  <c r="L28" i="1" s="1"/>
  <c r="L23" i="1"/>
  <c r="L24" i="1" s="1"/>
  <c r="L20" i="1"/>
  <c r="L19" i="1"/>
  <c r="G20" i="9"/>
  <c r="I20" i="9" s="1"/>
  <c r="G19" i="9"/>
  <c r="I19" i="9" s="1"/>
  <c r="G16" i="9"/>
  <c r="I16" i="9" s="1"/>
  <c r="G15" i="9"/>
  <c r="I15" i="9" s="1"/>
  <c r="G12" i="9"/>
  <c r="I12" i="9" s="1"/>
  <c r="G11" i="9"/>
  <c r="I11" i="9" s="1"/>
  <c r="G8" i="9"/>
  <c r="I8" i="9" s="1"/>
  <c r="G7" i="9"/>
  <c r="I7" i="9" s="1"/>
  <c r="I4" i="9"/>
  <c r="F19" i="9" l="1"/>
  <c r="F15" i="9"/>
  <c r="F11" i="9"/>
  <c r="F7" i="9"/>
  <c r="C32" i="6" l="1"/>
  <c r="C31" i="6"/>
  <c r="C28" i="6"/>
  <c r="C27" i="6"/>
  <c r="C24" i="6"/>
  <c r="C23" i="6"/>
  <c r="C20" i="6"/>
  <c r="C19" i="6"/>
  <c r="C16" i="6"/>
  <c r="C13" i="6"/>
  <c r="C12" i="6"/>
  <c r="C11" i="6"/>
  <c r="B9" i="6"/>
  <c r="D28" i="6" s="1"/>
  <c r="C32" i="5"/>
  <c r="C31" i="5"/>
  <c r="C28" i="5"/>
  <c r="C27" i="5"/>
  <c r="C24" i="5"/>
  <c r="C23" i="5"/>
  <c r="C20" i="5"/>
  <c r="C19" i="5"/>
  <c r="C16" i="5"/>
  <c r="C13" i="5"/>
  <c r="C12" i="5"/>
  <c r="C11" i="5"/>
  <c r="B9" i="5"/>
  <c r="D28" i="5" s="1"/>
  <c r="D27" i="1"/>
  <c r="C32" i="1"/>
  <c r="C31" i="1"/>
  <c r="C28" i="1"/>
  <c r="C27" i="1"/>
  <c r="C24" i="1"/>
  <c r="C23" i="1"/>
  <c r="C20" i="1"/>
  <c r="C19" i="1"/>
  <c r="C16" i="1"/>
  <c r="C13" i="1"/>
  <c r="C12" i="1"/>
  <c r="C11" i="1"/>
  <c r="B9" i="1"/>
  <c r="D23" i="1" s="1"/>
  <c r="C32" i="2"/>
  <c r="C31" i="2"/>
  <c r="C28" i="2"/>
  <c r="C27" i="2"/>
  <c r="C24" i="2"/>
  <c r="C23" i="2"/>
  <c r="C20" i="2"/>
  <c r="C19" i="2"/>
  <c r="C16" i="2"/>
  <c r="C13" i="2"/>
  <c r="C12" i="2"/>
  <c r="C11" i="2"/>
  <c r="B9" i="2"/>
  <c r="D28" i="2" s="1"/>
  <c r="D14" i="7"/>
  <c r="D22" i="7"/>
  <c r="E6" i="7"/>
  <c r="C4" i="7"/>
  <c r="E22" i="7"/>
  <c r="C6" i="7"/>
  <c r="F21" i="7"/>
  <c r="F13" i="7"/>
  <c r="C13" i="7"/>
  <c r="F20" i="7"/>
  <c r="E21" i="7"/>
  <c r="D4" i="7"/>
  <c r="F22" i="7"/>
  <c r="C22" i="7"/>
  <c r="C12" i="7"/>
  <c r="F5" i="7"/>
  <c r="F14" i="7"/>
  <c r="E13" i="7"/>
  <c r="D5" i="7"/>
  <c r="D20" i="7"/>
  <c r="D12" i="7"/>
  <c r="D13" i="7"/>
  <c r="E12" i="7"/>
  <c r="E4" i="7"/>
  <c r="F4" i="7"/>
  <c r="C5" i="7"/>
  <c r="C21" i="7"/>
  <c r="E14" i="7"/>
  <c r="E5" i="7"/>
  <c r="E20" i="7"/>
  <c r="F12" i="7"/>
  <c r="C14" i="7"/>
  <c r="C20" i="7"/>
  <c r="F6" i="7"/>
  <c r="D6" i="7"/>
  <c r="D21" i="7"/>
  <c r="H28" i="6" l="1"/>
  <c r="F28" i="6"/>
  <c r="G28" i="6"/>
  <c r="I28" i="6" s="1"/>
  <c r="H28" i="5"/>
  <c r="F28" i="5"/>
  <c r="G28" i="5"/>
  <c r="I28" i="5" s="1"/>
  <c r="F28" i="2"/>
  <c r="G28" i="2"/>
  <c r="I28" i="2" s="1"/>
  <c r="H28" i="2"/>
  <c r="H27" i="1"/>
  <c r="G27" i="1"/>
  <c r="I27" i="1" s="1"/>
  <c r="F27" i="1"/>
  <c r="G23" i="1"/>
  <c r="I23" i="1" s="1"/>
  <c r="H23" i="1"/>
  <c r="F23" i="1"/>
  <c r="C23" i="7"/>
  <c r="D23" i="7"/>
  <c r="E23" i="7"/>
  <c r="F23" i="7"/>
  <c r="C15" i="7"/>
  <c r="C16" i="7" s="1"/>
  <c r="D15" i="7"/>
  <c r="E15" i="7"/>
  <c r="F15" i="7"/>
  <c r="D7" i="7"/>
  <c r="E7" i="7"/>
  <c r="F7" i="7"/>
  <c r="C7" i="7"/>
  <c r="D20" i="1"/>
  <c r="D24" i="1"/>
  <c r="D28" i="1"/>
  <c r="D31" i="1"/>
  <c r="D16" i="1"/>
  <c r="D32" i="1"/>
  <c r="D19" i="1"/>
  <c r="D27" i="6"/>
  <c r="D19" i="6"/>
  <c r="D16" i="6"/>
  <c r="D24" i="6"/>
  <c r="D32" i="6"/>
  <c r="D23" i="6"/>
  <c r="D31" i="6"/>
  <c r="D20" i="6"/>
  <c r="D23" i="5"/>
  <c r="D31" i="5"/>
  <c r="D19" i="5"/>
  <c r="D27" i="5"/>
  <c r="D16" i="5"/>
  <c r="D24" i="5"/>
  <c r="D32" i="5"/>
  <c r="D20" i="5"/>
  <c r="D19" i="2"/>
  <c r="D27" i="2"/>
  <c r="D16" i="2"/>
  <c r="D23" i="2"/>
  <c r="D31" i="2"/>
  <c r="D24" i="2"/>
  <c r="D32" i="2"/>
  <c r="D20" i="2"/>
  <c r="K8" i="7"/>
  <c r="L8" i="7"/>
  <c r="G32" i="6" l="1"/>
  <c r="I32" i="6" s="1"/>
  <c r="H32" i="6"/>
  <c r="F32" i="6"/>
  <c r="G31" i="6"/>
  <c r="I31" i="6" s="1"/>
  <c r="F31" i="6"/>
  <c r="H31" i="6"/>
  <c r="H27" i="6"/>
  <c r="F27" i="6"/>
  <c r="G27" i="6"/>
  <c r="I27" i="6" s="1"/>
  <c r="H24" i="6"/>
  <c r="F24" i="6"/>
  <c r="G24" i="6"/>
  <c r="I24" i="6" s="1"/>
  <c r="H23" i="6"/>
  <c r="G23" i="6"/>
  <c r="I23" i="6" s="1"/>
  <c r="F23" i="6"/>
  <c r="F20" i="6"/>
  <c r="G20" i="6"/>
  <c r="I20" i="6" s="1"/>
  <c r="H20" i="6"/>
  <c r="H19" i="6"/>
  <c r="G19" i="6"/>
  <c r="I19" i="6" s="1"/>
  <c r="F19" i="6"/>
  <c r="G32" i="5"/>
  <c r="I32" i="5" s="1"/>
  <c r="F32" i="5"/>
  <c r="H32" i="5"/>
  <c r="G31" i="5"/>
  <c r="I31" i="5" s="1"/>
  <c r="F31" i="5"/>
  <c r="H31" i="5"/>
  <c r="G27" i="5"/>
  <c r="I27" i="5" s="1"/>
  <c r="H27" i="5"/>
  <c r="F27" i="5"/>
  <c r="H24" i="5"/>
  <c r="F24" i="5"/>
  <c r="G24" i="5"/>
  <c r="I24" i="5" s="1"/>
  <c r="F23" i="5"/>
  <c r="G23" i="5"/>
  <c r="I23" i="5" s="1"/>
  <c r="H23" i="5"/>
  <c r="F20" i="5"/>
  <c r="G20" i="5"/>
  <c r="I20" i="5" s="1"/>
  <c r="H20" i="5"/>
  <c r="F19" i="5"/>
  <c r="H19" i="5"/>
  <c r="G19" i="5"/>
  <c r="H32" i="2"/>
  <c r="F32" i="2"/>
  <c r="G32" i="2"/>
  <c r="I32" i="2" s="1"/>
  <c r="G31" i="2"/>
  <c r="I31" i="2" s="1"/>
  <c r="F31" i="2"/>
  <c r="H31" i="2"/>
  <c r="F27" i="2"/>
  <c r="G27" i="2"/>
  <c r="I27" i="2" s="1"/>
  <c r="H27" i="2"/>
  <c r="H24" i="2"/>
  <c r="G24" i="2"/>
  <c r="I24" i="2" s="1"/>
  <c r="F24" i="2"/>
  <c r="G23" i="2"/>
  <c r="I23" i="2" s="1"/>
  <c r="F23" i="2"/>
  <c r="H23" i="2"/>
  <c r="F20" i="2"/>
  <c r="H20" i="2"/>
  <c r="G20" i="2"/>
  <c r="I20" i="2" s="1"/>
  <c r="H19" i="2"/>
  <c r="G19" i="2"/>
  <c r="F19" i="2"/>
  <c r="F32" i="1"/>
  <c r="G32" i="1"/>
  <c r="I32" i="1" s="1"/>
  <c r="H32" i="1"/>
  <c r="H31" i="1"/>
  <c r="F31" i="1"/>
  <c r="G31" i="1"/>
  <c r="I31" i="1" s="1"/>
  <c r="G28" i="1"/>
  <c r="I28" i="1" s="1"/>
  <c r="F28" i="1"/>
  <c r="H28" i="1"/>
  <c r="H24" i="1"/>
  <c r="F24" i="1"/>
  <c r="G24" i="1"/>
  <c r="I24" i="1" s="1"/>
  <c r="G20" i="1"/>
  <c r="I20" i="1" s="1"/>
  <c r="H20" i="1"/>
  <c r="F20" i="1"/>
  <c r="H19" i="1"/>
  <c r="G19" i="1"/>
  <c r="F19" i="1"/>
  <c r="H16" i="6"/>
  <c r="G16" i="6"/>
  <c r="F16" i="6"/>
  <c r="H16" i="5"/>
  <c r="G16" i="5"/>
  <c r="F16" i="5"/>
  <c r="F16" i="2"/>
  <c r="G16" i="2"/>
  <c r="H16" i="2"/>
  <c r="H16" i="1"/>
  <c r="G16" i="1"/>
  <c r="F16" i="1"/>
  <c r="F26" i="7"/>
  <c r="E26" i="7"/>
  <c r="D26" i="7"/>
  <c r="C26" i="7"/>
  <c r="D9" i="7"/>
  <c r="F9" i="7"/>
  <c r="E9" i="7"/>
  <c r="C9" i="7"/>
  <c r="C24" i="7"/>
  <c r="C25" i="7"/>
  <c r="F24" i="7"/>
  <c r="F25" i="7"/>
  <c r="E24" i="7"/>
  <c r="E25" i="7"/>
  <c r="D24" i="7"/>
  <c r="D25" i="7"/>
  <c r="D16" i="7"/>
  <c r="D17" i="7"/>
  <c r="C17" i="7"/>
  <c r="E16" i="7"/>
  <c r="E17" i="7"/>
  <c r="F16" i="7"/>
  <c r="F17" i="7"/>
  <c r="F8" i="7"/>
  <c r="E8" i="7"/>
  <c r="D8" i="7"/>
  <c r="C8" i="7"/>
  <c r="G7" i="7"/>
  <c r="G25" i="7"/>
  <c r="G16" i="7"/>
  <c r="N6" i="7"/>
  <c r="M6" i="7"/>
  <c r="L6" i="7"/>
  <c r="K6" i="7"/>
  <c r="N4" i="7"/>
  <c r="M4" i="7"/>
  <c r="L4" i="7"/>
  <c r="K4" i="7"/>
  <c r="M15" i="7"/>
  <c r="N8" i="7"/>
  <c r="M8" i="7"/>
  <c r="L14" i="7"/>
  <c r="M16" i="7"/>
  <c r="L16" i="7"/>
  <c r="L15" i="7"/>
  <c r="N16" i="7"/>
  <c r="M14" i="7"/>
  <c r="N15" i="7"/>
  <c r="K16" i="7"/>
  <c r="N14" i="7"/>
  <c r="K15" i="7"/>
  <c r="K14" i="7"/>
  <c r="M10" i="7"/>
  <c r="K10" i="7"/>
  <c r="M9" i="7"/>
  <c r="L10" i="7"/>
  <c r="I19" i="5" l="1"/>
  <c r="I19" i="2"/>
  <c r="I19" i="1"/>
  <c r="I16" i="6"/>
  <c r="I16" i="5"/>
  <c r="I16" i="2"/>
  <c r="O16" i="7"/>
  <c r="O14" i="7"/>
  <c r="R14" i="7" s="1"/>
  <c r="O15" i="7"/>
  <c r="I16" i="1"/>
  <c r="M5" i="7"/>
  <c r="M7" i="7" s="1"/>
  <c r="N10" i="7"/>
  <c r="N9" i="7"/>
  <c r="K9" i="7"/>
  <c r="K17" i="7"/>
  <c r="N17" i="7"/>
  <c r="M17" i="7"/>
  <c r="L17" i="7"/>
  <c r="L9" i="7"/>
  <c r="O17" i="7" l="1"/>
  <c r="L5" i="7"/>
  <c r="L7" i="7" s="1"/>
  <c r="K5" i="7"/>
  <c r="K7" i="7" s="1"/>
  <c r="N5" i="7"/>
  <c r="N7" i="7" s="1"/>
  <c r="K24" i="7"/>
  <c r="K19" i="7"/>
  <c r="M21" i="7"/>
  <c r="L19" i="7"/>
  <c r="M19" i="7"/>
  <c r="L24" i="7"/>
  <c r="N23" i="7"/>
  <c r="N21" i="7"/>
  <c r="L23" i="7"/>
  <c r="K22" i="7"/>
  <c r="M23" i="7"/>
  <c r="N22" i="7"/>
  <c r="K23" i="7"/>
  <c r="M24" i="7"/>
  <c r="L22" i="7"/>
  <c r="N19" i="7"/>
  <c r="K21" i="7"/>
  <c r="N24" i="7"/>
  <c r="M22" i="7"/>
  <c r="L21" i="7"/>
  <c r="I4" i="1" l="1"/>
  <c r="I4" i="6"/>
  <c r="I4" i="5"/>
  <c r="I4" i="2"/>
  <c r="H4" i="6"/>
  <c r="F4" i="6"/>
  <c r="G4" i="6"/>
  <c r="H4" i="5"/>
  <c r="F4" i="5"/>
  <c r="G4" i="5"/>
  <c r="H4" i="2"/>
  <c r="F4" i="2"/>
  <c r="G4" i="2"/>
  <c r="H4" i="1"/>
  <c r="G4" i="1"/>
  <c r="F4" i="1"/>
  <c r="L25" i="7"/>
  <c r="G5" i="6" s="1"/>
  <c r="M25" i="7"/>
  <c r="H5" i="6" s="1"/>
  <c r="K25" i="7"/>
  <c r="F5" i="6" s="1"/>
  <c r="N25" i="7"/>
  <c r="I5" i="6" s="1"/>
  <c r="I5" i="2" l="1"/>
  <c r="I5" i="5"/>
  <c r="H5" i="2"/>
  <c r="H5" i="5"/>
  <c r="F5" i="2"/>
  <c r="F5" i="5"/>
  <c r="G5" i="2"/>
  <c r="G5" i="5"/>
  <c r="L27" i="7"/>
  <c r="G3" i="1" s="1"/>
  <c r="G5" i="1"/>
  <c r="N27" i="7"/>
  <c r="I3" i="5" s="1"/>
  <c r="I5" i="1"/>
  <c r="M27" i="7"/>
  <c r="H3" i="1" s="1"/>
  <c r="H5" i="1"/>
  <c r="K27" i="7"/>
  <c r="F3" i="1" s="1"/>
  <c r="F5" i="1"/>
  <c r="G3" i="5" l="1"/>
  <c r="G3" i="6"/>
  <c r="G3" i="2"/>
  <c r="I3" i="2"/>
  <c r="I3" i="1"/>
  <c r="H3" i="2"/>
  <c r="I3" i="6"/>
  <c r="F3" i="5"/>
  <c r="H3" i="6"/>
  <c r="H3" i="5"/>
  <c r="F3" i="6"/>
  <c r="F3" i="2"/>
</calcChain>
</file>

<file path=xl/sharedStrings.xml><?xml version="1.0" encoding="utf-8"?>
<sst xmlns="http://schemas.openxmlformats.org/spreadsheetml/2006/main" count="295" uniqueCount="115">
  <si>
    <t>Laser</t>
  </si>
  <si>
    <t>Kinetic</t>
  </si>
  <si>
    <t>Cooldown</t>
  </si>
  <si>
    <t>Critical</t>
  </si>
  <si>
    <t>Shield Penet</t>
  </si>
  <si>
    <t>Hull Penet</t>
  </si>
  <si>
    <t>Long range</t>
  </si>
  <si>
    <t>Medium range</t>
  </si>
  <si>
    <t>Short range</t>
  </si>
  <si>
    <t>ERA 1</t>
  </si>
  <si>
    <t>Damage</t>
  </si>
  <si>
    <t>ERA 2</t>
  </si>
  <si>
    <t>Ress damage</t>
  </si>
  <si>
    <t>ERA 3</t>
  </si>
  <si>
    <t>ERA 4</t>
  </si>
  <si>
    <t>ERA 5</t>
  </si>
  <si>
    <t>Damage per sec</t>
  </si>
  <si>
    <t>Hits per phase</t>
  </si>
  <si>
    <t>Damage per phase</t>
  </si>
  <si>
    <t>Beam</t>
  </si>
  <si>
    <t>Time in phase</t>
  </si>
  <si>
    <t>Missile</t>
  </si>
  <si>
    <t>Want Short Range</t>
  </si>
  <si>
    <t>Opponent choose Short</t>
  </si>
  <si>
    <t>Opponent choose Medium</t>
  </si>
  <si>
    <t>Opponent choose Long</t>
  </si>
  <si>
    <t>Want Medium Range</t>
  </si>
  <si>
    <t>Want Long Range</t>
  </si>
  <si>
    <t>SSS</t>
  </si>
  <si>
    <t>LLL</t>
  </si>
  <si>
    <t>MMM</t>
  </si>
  <si>
    <t>MSS</t>
  </si>
  <si>
    <t>LMS</t>
  </si>
  <si>
    <t>LMM</t>
  </si>
  <si>
    <t>ERA 2 (norm)</t>
  </si>
  <si>
    <t>ERA 2 (ress)</t>
  </si>
  <si>
    <t>ERA 3 (norm)</t>
  </si>
  <si>
    <t>ERA 3 (ress)</t>
  </si>
  <si>
    <t>ERA 4 (norm)</t>
  </si>
  <si>
    <t>ERA 4 (ress)</t>
  </si>
  <si>
    <t>ERA 5 (norm)</t>
  </si>
  <si>
    <t>Best scenario</t>
  </si>
  <si>
    <t>Sum</t>
  </si>
  <si>
    <t>ERA 5 (ress)</t>
  </si>
  <si>
    <t>Worse scenario</t>
  </si>
  <si>
    <t>Middle scenario</t>
  </si>
  <si>
    <t>Card choice flexibility (%)</t>
  </si>
  <si>
    <t>Sums scenarios</t>
  </si>
  <si>
    <t>Damage variance</t>
  </si>
  <si>
    <t>Mean phase without offense</t>
  </si>
  <si>
    <t>Best damage scenario</t>
  </si>
  <si>
    <t>Less tank scenario</t>
  </si>
  <si>
    <t>Best stable in damage scenario</t>
  </si>
  <si>
    <t>Risk / reward (higher the best)</t>
  </si>
  <si>
    <t>Ships</t>
  </si>
  <si>
    <t>Various data for ships</t>
  </si>
  <si>
    <t>Ship HP: small</t>
  </si>
  <si>
    <t>Ship HP: medium</t>
  </si>
  <si>
    <t>Ship HP: big</t>
  </si>
  <si>
    <t>Ship weakness</t>
  </si>
  <si>
    <t>Shields</t>
  </si>
  <si>
    <t>Normal T1</t>
  </si>
  <si>
    <t>Normal T2</t>
  </si>
  <si>
    <t>Normal T3</t>
  </si>
  <si>
    <t>Normal T4</t>
  </si>
  <si>
    <t>Normal T5</t>
  </si>
  <si>
    <t>Ressource T4</t>
  </si>
  <si>
    <t>Ressource T1</t>
  </si>
  <si>
    <t>Ressource T2</t>
  </si>
  <si>
    <t>Ressource T3</t>
  </si>
  <si>
    <t>HealthBonus</t>
  </si>
  <si>
    <t>Absorption</t>
  </si>
  <si>
    <t>Bonus</t>
  </si>
  <si>
    <t>Hull Plating</t>
  </si>
  <si>
    <t>(gross estimate)</t>
  </si>
  <si>
    <t>No shield + No plate</t>
  </si>
  <si>
    <t>Shield + No plate</t>
  </si>
  <si>
    <t>No Shield + Plate</t>
  </si>
  <si>
    <t>Shield + Plate</t>
  </si>
  <si>
    <t>Shield, Hull : N, N</t>
  </si>
  <si>
    <t>Shield, Hull : Y, N</t>
  </si>
  <si>
    <t>Shield, Hull : N, Y</t>
  </si>
  <si>
    <t>Shield, Hull : Y, Y</t>
  </si>
  <si>
    <t>&lt;== estimator : ((N,N) + 2x(Y,N) + 2x(N,Y) + (Y,Y)) / 6 : you will found 33% shield, 33% hull, 16% nothing, 16% both</t>
  </si>
  <si>
    <t>Mean damage</t>
  </si>
  <si>
    <t>Damages per phase at 100% distance</t>
  </si>
  <si>
    <t>Mean d. output in battle (best damage scenario)</t>
  </si>
  <si>
    <t>Kinetic damage on shooter (best damage scenario)</t>
  </si>
  <si>
    <t>Beam damage on shooter (best damage scenario)</t>
  </si>
  <si>
    <t>Missile damage on shooter (best damage scenario)</t>
  </si>
  <si>
    <t>Laser damage on shooter (best damage scenario)</t>
  </si>
  <si>
    <t>Mean d. input in battle (best damage scenario)</t>
  </si>
  <si>
    <t>Balance</t>
  </si>
  <si>
    <t>Output</t>
  </si>
  <si>
    <t>Input</t>
  </si>
  <si>
    <t>WEAPON LINE</t>
  </si>
  <si>
    <t>B&amp;M</t>
  </si>
  <si>
    <t>K&amp;L</t>
  </si>
  <si>
    <t>Moy deg</t>
  </si>
  <si>
    <t>Abs x1</t>
  </si>
  <si>
    <t>HP eff x1</t>
  </si>
  <si>
    <t>Abs x2</t>
  </si>
  <si>
    <t>HP eff x2</t>
  </si>
  <si>
    <t>Abs x4</t>
  </si>
  <si>
    <t>HP eff x4</t>
  </si>
  <si>
    <t>S</t>
  </si>
  <si>
    <t>M</t>
  </si>
  <si>
    <t>L</t>
  </si>
  <si>
    <t>Effective HP vs K/M will be x1,4-1,5 the base hull of ship</t>
  </si>
  <si>
    <t>x1,65</t>
  </si>
  <si>
    <t>x1,72</t>
  </si>
  <si>
    <t>x1,78</t>
  </si>
  <si>
    <t>x1,84</t>
  </si>
  <si>
    <t>…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</si>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</sst>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2" fillId="2" borderId="0" xfId="0" applyFont="1" applyFill="1"/>
    <xf numFmtId="0" fontId="2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NumberFormat="1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4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NumberFormat="1" applyFont="1" applyFill="1"/>
    <xf numFmtId="0" fontId="2" fillId="4" borderId="0" xfId="0" applyFont="1" applyFill="1"/>
    <xf numFmtId="0" fontId="3" fillId="4" borderId="0" xfId="0" applyFont="1" applyFill="1"/>
    <xf numFmtId="0" fontId="3" fillId="4" borderId="0" xfId="0" applyNumberFormat="1" applyFont="1" applyFill="1"/>
    <xf numFmtId="0" fontId="1" fillId="5" borderId="0" xfId="0" applyFont="1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C37" sqref="C37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4.570312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  <col min="12" max="12" width="6.5703125" bestFit="1" customWidth="1"/>
  </cols>
  <sheetData>
    <row r="1" spans="1:13" x14ac:dyDescent="0.25">
      <c r="F1" s="2" t="s">
        <v>92</v>
      </c>
    </row>
    <row r="2" spans="1:13" x14ac:dyDescent="0.25">
      <c r="A2" s="2" t="s">
        <v>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3" x14ac:dyDescent="0.25">
      <c r="A3" t="s">
        <v>2</v>
      </c>
      <c r="B3">
        <v>1.7</v>
      </c>
      <c r="F3" s="28">
        <f ca="1">Balance!K27</f>
        <v>1.3266028222453903</v>
      </c>
      <c r="G3" s="28">
        <f ca="1">Balance!L27</f>
        <v>1.4630068307650483</v>
      </c>
      <c r="H3" s="28">
        <f ca="1">Balance!M27</f>
        <v>1.4648129806794912</v>
      </c>
      <c r="I3" s="28">
        <f ca="1">Balance!N27</f>
        <v>1.3504200262879</v>
      </c>
    </row>
    <row r="4" spans="1:13" x14ac:dyDescent="0.25">
      <c r="A4" t="s">
        <v>3</v>
      </c>
      <c r="B4">
        <v>0</v>
      </c>
      <c r="F4" s="3">
        <f ca="1">Balance!K19</f>
        <v>1957.2224000000003</v>
      </c>
      <c r="G4" s="3">
        <f ca="1">Balance!L19</f>
        <v>2158.4679999999994</v>
      </c>
      <c r="H4" s="3">
        <f ca="1">Balance!M19</f>
        <v>2071.1754999999998</v>
      </c>
      <c r="I4" s="3">
        <f ca="1">Balance!N19</f>
        <v>1909.4293333333335</v>
      </c>
      <c r="J4" s="3" t="s">
        <v>93</v>
      </c>
    </row>
    <row r="5" spans="1:13" x14ac:dyDescent="0.25">
      <c r="A5" t="s">
        <v>4</v>
      </c>
      <c r="B5">
        <v>0.8</v>
      </c>
      <c r="F5" s="3">
        <f ca="1">Balance!K25</f>
        <v>1475.3642666666665</v>
      </c>
      <c r="G5" s="3">
        <f ca="1">Balance!L25</f>
        <v>1475.3642666666665</v>
      </c>
      <c r="H5" s="3">
        <f ca="1">Balance!M25</f>
        <v>1413.9521750000001</v>
      </c>
      <c r="I5" s="3">
        <f ca="1">Balance!N25</f>
        <v>1413.9521750000001</v>
      </c>
      <c r="J5" s="3" t="s">
        <v>94</v>
      </c>
    </row>
    <row r="6" spans="1:13" x14ac:dyDescent="0.25">
      <c r="A6" t="s">
        <v>5</v>
      </c>
      <c r="B6">
        <v>0.3</v>
      </c>
    </row>
    <row r="8" spans="1:13" x14ac:dyDescent="0.25">
      <c r="A8" s="3" t="s">
        <v>20</v>
      </c>
      <c r="B8">
        <v>40</v>
      </c>
    </row>
    <row r="9" spans="1:13" x14ac:dyDescent="0.25">
      <c r="A9" s="3" t="s">
        <v>17</v>
      </c>
      <c r="B9">
        <f>1+FLOOR(B8/B3,1)</f>
        <v>24</v>
      </c>
    </row>
    <row r="11" spans="1:13" x14ac:dyDescent="0.25">
      <c r="A11" t="s">
        <v>6</v>
      </c>
      <c r="B11" s="29">
        <v>0.62</v>
      </c>
      <c r="C11">
        <f>100-B11*100</f>
        <v>38</v>
      </c>
    </row>
    <row r="12" spans="1:13" x14ac:dyDescent="0.25">
      <c r="A12" t="s">
        <v>7</v>
      </c>
      <c r="B12" s="29">
        <v>0.38</v>
      </c>
      <c r="C12">
        <f t="shared" ref="C12:C13" si="0">100-B12*100</f>
        <v>62</v>
      </c>
    </row>
    <row r="13" spans="1:13" x14ac:dyDescent="0.25">
      <c r="A13" t="s">
        <v>8</v>
      </c>
      <c r="B13" s="29">
        <v>0</v>
      </c>
      <c r="C13">
        <f t="shared" si="0"/>
        <v>100</v>
      </c>
    </row>
    <row r="15" spans="1:13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  <c r="L15" t="s">
        <v>96</v>
      </c>
    </row>
    <row r="16" spans="1:13" x14ac:dyDescent="0.25">
      <c r="A16" t="s">
        <v>10</v>
      </c>
      <c r="B16" s="29">
        <v>10.5</v>
      </c>
      <c r="C16">
        <f>B16/$B$3</f>
        <v>6.1764705882352944</v>
      </c>
      <c r="D16">
        <f>$B$9*B16</f>
        <v>252</v>
      </c>
      <c r="F16">
        <f>D16</f>
        <v>252</v>
      </c>
      <c r="G16">
        <f>D16 - ((1-$B$5)*D16*Shield!C4/(Shield!C4+Ships!B4))</f>
        <v>247.41818181818181</v>
      </c>
      <c r="H16">
        <f>D16 - ((1-$B$6)*D16*Plating!C4/(Plating!C4+Ships!B4))</f>
        <v>235.96363636363637</v>
      </c>
      <c r="I16">
        <f>G16 - ((1-$B$6)*G16*Plating!C4/(Plating!C4+Ships!B4))</f>
        <v>231.67338842975207</v>
      </c>
      <c r="K16">
        <v>350</v>
      </c>
      <c r="L16">
        <v>400</v>
      </c>
      <c r="M16">
        <f>0.5*(K16+L16)</f>
        <v>375</v>
      </c>
    </row>
    <row r="18" spans="1:13" x14ac:dyDescent="0.25">
      <c r="A18" s="1" t="s">
        <v>11</v>
      </c>
    </row>
    <row r="19" spans="1:13" x14ac:dyDescent="0.25">
      <c r="A19" t="s">
        <v>10</v>
      </c>
      <c r="B19" s="29">
        <v>20</v>
      </c>
      <c r="C19">
        <f>B19/$B$3</f>
        <v>11.764705882352942</v>
      </c>
      <c r="D19">
        <f>$B$9*B19</f>
        <v>480</v>
      </c>
      <c r="F19">
        <f>D19</f>
        <v>480</v>
      </c>
      <c r="G19">
        <f>D19 - ((1-$B$5)*D19*Shield!C7/(Shield!C7+Ships!B7))</f>
        <v>479.36423841059604</v>
      </c>
      <c r="H19">
        <f>D19 - ((1-$B$6)*D19*Plating!C7/(Plating!C7+Ships!B7))</f>
        <v>477.7748344370861</v>
      </c>
      <c r="I19">
        <f>G19 - ((1-$B$6)*G19*Plating!C7/(Plating!C7+Ships!B7))</f>
        <v>477.14202008683833</v>
      </c>
      <c r="K19">
        <v>410</v>
      </c>
      <c r="L19">
        <f>(L16*K19)/K16</f>
        <v>468.57142857142856</v>
      </c>
      <c r="M19">
        <f t="shared" ref="M19:M32" si="1">0.5*(K19+L19)</f>
        <v>439.28571428571428</v>
      </c>
    </row>
    <row r="20" spans="1:13" x14ac:dyDescent="0.25">
      <c r="A20" t="s">
        <v>12</v>
      </c>
      <c r="B20" s="29">
        <v>32</v>
      </c>
      <c r="C20">
        <f>B20/$B$3</f>
        <v>18.823529411764707</v>
      </c>
      <c r="D20">
        <f>$B$9*B20</f>
        <v>768</v>
      </c>
      <c r="F20">
        <f>D20</f>
        <v>768</v>
      </c>
      <c r="G20">
        <f>D20 - ((1-$B$5)*D20*Shield!C8/(Shield!C8+Ships!B8))</f>
        <v>767.65942350332591</v>
      </c>
      <c r="H20">
        <f>D20 - ((1-$B$6)*D20*Plating!C8/(Plating!C8+Ships!B8))</f>
        <v>766.80798226164075</v>
      </c>
      <c r="I20">
        <f>G20 - ((1-$B$6)*G20*Plating!C8/(Plating!C8+Ships!B8))</f>
        <v>766.46793437593715</v>
      </c>
      <c r="K20">
        <v>590</v>
      </c>
      <c r="L20">
        <f>(K20*L19)/K19</f>
        <v>674.28571428571422</v>
      </c>
      <c r="M20">
        <f t="shared" si="1"/>
        <v>632.14285714285711</v>
      </c>
    </row>
    <row r="22" spans="1:13" x14ac:dyDescent="0.25">
      <c r="A22" s="1" t="s">
        <v>13</v>
      </c>
    </row>
    <row r="23" spans="1:13" x14ac:dyDescent="0.25">
      <c r="A23" t="s">
        <v>10</v>
      </c>
      <c r="B23" s="29">
        <v>26</v>
      </c>
      <c r="C23">
        <f>B23/$B$3</f>
        <v>15.294117647058824</v>
      </c>
      <c r="D23">
        <f>$B$9*B23</f>
        <v>624</v>
      </c>
      <c r="F23">
        <f>D23</f>
        <v>624</v>
      </c>
      <c r="G23">
        <f>D23 - ((1-$B$5)*D23*Shield!C11/(Shield!C11+Ships!B11))</f>
        <v>499.20000000000005</v>
      </c>
      <c r="H23">
        <f>D23 - ((1-$B$6)*D23*Plating!C11/(Plating!C11+Ships!B11))</f>
        <v>187.20000000000005</v>
      </c>
      <c r="I23">
        <f>G23 - ((1-$B$6)*G23*Plating!C11/(Plating!C11+Ships!B11))</f>
        <v>149.76000000000005</v>
      </c>
      <c r="K23">
        <v>530</v>
      </c>
      <c r="L23">
        <f>(L20*K23)/K20</f>
        <v>605.71428571428567</v>
      </c>
      <c r="M23">
        <f t="shared" si="1"/>
        <v>567.85714285714289</v>
      </c>
    </row>
    <row r="24" spans="1:13" x14ac:dyDescent="0.25">
      <c r="A24" t="s">
        <v>12</v>
      </c>
      <c r="B24" s="29">
        <v>37</v>
      </c>
      <c r="C24">
        <f>B24/$B$3</f>
        <v>21.764705882352942</v>
      </c>
      <c r="D24">
        <f>$B$9*B24</f>
        <v>888</v>
      </c>
      <c r="F24">
        <f>D24</f>
        <v>888</v>
      </c>
      <c r="G24">
        <f>D24 - ((1-$B$5)*D24*Shield!C12/(Shield!C12+Ships!B12))</f>
        <v>710.40000000000009</v>
      </c>
      <c r="H24">
        <f>D24 - ((1-$B$6)*D24*Plating!C12/(Plating!C12+Ships!B12))</f>
        <v>266.40000000000009</v>
      </c>
      <c r="I24">
        <f>G24 - ((1-$B$6)*G24*Plating!C12/(Plating!C12+Ships!B12))</f>
        <v>213.12000000000006</v>
      </c>
      <c r="K24">
        <v>810</v>
      </c>
      <c r="L24">
        <f>(K24*L23)/K23</f>
        <v>925.71428571428555</v>
      </c>
      <c r="M24">
        <f t="shared" si="1"/>
        <v>867.85714285714278</v>
      </c>
    </row>
    <row r="26" spans="1:13" x14ac:dyDescent="0.25">
      <c r="A26" s="1" t="s">
        <v>14</v>
      </c>
    </row>
    <row r="27" spans="1:13" x14ac:dyDescent="0.25">
      <c r="A27" t="s">
        <v>10</v>
      </c>
      <c r="B27" s="29">
        <v>34</v>
      </c>
      <c r="C27">
        <f>B27/$B$3</f>
        <v>20</v>
      </c>
      <c r="D27">
        <f>$B$9*B27</f>
        <v>816</v>
      </c>
      <c r="F27">
        <f>D27</f>
        <v>816</v>
      </c>
      <c r="G27">
        <f>D27 - ((1-$B$5)*D27*Shield!C15/(Shield!C15+Ships!B15))</f>
        <v>652.80000000000007</v>
      </c>
      <c r="H27">
        <f>D27 - ((1-$B$6)*D27*Plating!C15/(Plating!C15+Ships!B15))</f>
        <v>244.80000000000007</v>
      </c>
      <c r="I27">
        <f>G27 - ((1-$B$6)*G27*Plating!C15/(Plating!C15+Ships!B15))</f>
        <v>195.84000000000003</v>
      </c>
      <c r="K27">
        <v>710</v>
      </c>
      <c r="L27">
        <f>(L24*K27)/K24</f>
        <v>811.42857142857122</v>
      </c>
      <c r="M27">
        <f t="shared" si="1"/>
        <v>760.71428571428555</v>
      </c>
    </row>
    <row r="28" spans="1:13" x14ac:dyDescent="0.25">
      <c r="A28" t="s">
        <v>12</v>
      </c>
      <c r="B28" s="29">
        <v>46</v>
      </c>
      <c r="C28">
        <f>B28/$B$3</f>
        <v>27.058823529411764</v>
      </c>
      <c r="D28">
        <f>$B$9*B28</f>
        <v>1104</v>
      </c>
      <c r="F28">
        <f>D28</f>
        <v>1104</v>
      </c>
      <c r="G28">
        <f>D28 - ((1-$B$5)*D28*Shield!C16/(Shield!C16+Ships!B16))</f>
        <v>883.2</v>
      </c>
      <c r="H28">
        <f>D28 - ((1-$B$6)*D28*Plating!C16/(Plating!C16+Ships!B16))</f>
        <v>331.20000000000005</v>
      </c>
      <c r="I28">
        <f>G28 - ((1-$B$6)*G28*Plating!C16/(Plating!C16+Ships!B16))</f>
        <v>264.96000000000004</v>
      </c>
      <c r="K28">
        <v>1110</v>
      </c>
      <c r="L28">
        <f>(K28*L27)/K27</f>
        <v>1268.5714285714282</v>
      </c>
      <c r="M28">
        <f t="shared" si="1"/>
        <v>1189.2857142857142</v>
      </c>
    </row>
    <row r="30" spans="1:13" x14ac:dyDescent="0.25">
      <c r="A30" s="1" t="s">
        <v>15</v>
      </c>
    </row>
    <row r="31" spans="1:13" x14ac:dyDescent="0.25">
      <c r="A31" t="s">
        <v>10</v>
      </c>
      <c r="B31" s="29">
        <v>43</v>
      </c>
      <c r="C31">
        <f>B31/$B$3</f>
        <v>25.294117647058822</v>
      </c>
      <c r="D31">
        <f>$B$9*B31</f>
        <v>1032</v>
      </c>
      <c r="F31">
        <f>D31</f>
        <v>1032</v>
      </c>
      <c r="G31">
        <f>D31 - ((1-$B$5)*D31*Shield!C19/(Shield!C19+Ships!B19))</f>
        <v>825.6</v>
      </c>
      <c r="H31">
        <f>D31 - ((1-$B$6)*D31*Plating!C19/(Plating!C19+Ships!B19))</f>
        <v>309.60000000000002</v>
      </c>
      <c r="I31">
        <f>G31 - ((1-$B$6)*G31*Plating!C19/(Plating!C19+Ships!B19))</f>
        <v>247.68000000000006</v>
      </c>
      <c r="K31">
        <v>1010</v>
      </c>
      <c r="L31">
        <f>(L28*K31)/K28</f>
        <v>1154.285714285714</v>
      </c>
      <c r="M31">
        <f t="shared" si="1"/>
        <v>1082.1428571428569</v>
      </c>
    </row>
    <row r="32" spans="1:13" x14ac:dyDescent="0.25">
      <c r="A32" t="s">
        <v>12</v>
      </c>
      <c r="B32" s="29">
        <v>56</v>
      </c>
      <c r="C32">
        <f>B32/$B$3</f>
        <v>32.941176470588239</v>
      </c>
      <c r="D32">
        <f>$B$9*B32</f>
        <v>1344</v>
      </c>
      <c r="F32">
        <f>D32</f>
        <v>1344</v>
      </c>
      <c r="G32">
        <f>D32 - ((1-$B$5)*D32*Shield!C20/(Shield!C20+Ships!B20))</f>
        <v>1075.2</v>
      </c>
      <c r="H32">
        <f>D32 - ((1-$B$6)*D32*Plating!C20/(Plating!C20+Ships!B20))</f>
        <v>403.20000000000005</v>
      </c>
      <c r="I32">
        <f>G32 - ((1-$B$6)*G32*Plating!C20/(Plating!C20+Ships!B20))</f>
        <v>322.56000000000006</v>
      </c>
      <c r="K32">
        <v>1650</v>
      </c>
      <c r="L32">
        <f>(K32*L31)/K31</f>
        <v>1885.7142857142853</v>
      </c>
      <c r="M32">
        <f t="shared" si="1"/>
        <v>1767.8571428571427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2" sqref="B32"/>
    </sheetView>
  </sheetViews>
  <sheetFormatPr defaultRowHeight="15" x14ac:dyDescent="0.25"/>
  <cols>
    <col min="1" max="1" width="14" bestFit="1" customWidth="1"/>
    <col min="2" max="2" width="7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19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6.8</v>
      </c>
      <c r="F3" s="28">
        <f ca="1">Balance!K27</f>
        <v>1.3266028222453903</v>
      </c>
      <c r="G3" s="28">
        <f ca="1">Balance!L27</f>
        <v>1.4630068307650483</v>
      </c>
      <c r="H3" s="28">
        <f ca="1">Balance!M27</f>
        <v>1.4648129806794912</v>
      </c>
      <c r="I3" s="28">
        <f ca="1">Balance!N27</f>
        <v>1.3504200262879</v>
      </c>
    </row>
    <row r="4" spans="1:11" x14ac:dyDescent="0.25">
      <c r="A4" t="s">
        <v>3</v>
      </c>
      <c r="B4">
        <v>0</v>
      </c>
      <c r="F4" s="3">
        <f ca="1">Balance!K19</f>
        <v>1957.2224000000003</v>
      </c>
      <c r="G4" s="3">
        <f ca="1">Balance!L19</f>
        <v>2158.4679999999994</v>
      </c>
      <c r="H4" s="3">
        <f ca="1">Balance!M19</f>
        <v>2071.1754999999998</v>
      </c>
      <c r="I4" s="3">
        <f ca="1">Balance!N19</f>
        <v>1909.4293333333335</v>
      </c>
      <c r="J4" s="3" t="s">
        <v>93</v>
      </c>
    </row>
    <row r="5" spans="1:11" x14ac:dyDescent="0.25">
      <c r="A5" t="s">
        <v>4</v>
      </c>
      <c r="B5">
        <v>0.1</v>
      </c>
      <c r="F5" s="3">
        <f ca="1">Balance!K25</f>
        <v>1475.3642666666665</v>
      </c>
      <c r="G5" s="3">
        <f ca="1">Balance!L25</f>
        <v>1475.3642666666665</v>
      </c>
      <c r="H5" s="3">
        <f ca="1">Balance!M25</f>
        <v>1413.9521750000001</v>
      </c>
      <c r="I5" s="3">
        <f ca="1">Balance!N25</f>
        <v>1413.9521750000001</v>
      </c>
      <c r="J5" s="3" t="s">
        <v>94</v>
      </c>
    </row>
    <row r="6" spans="1:11" x14ac:dyDescent="0.25">
      <c r="A6" t="s">
        <v>5</v>
      </c>
      <c r="B6">
        <v>0.9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6</v>
      </c>
    </row>
    <row r="11" spans="1:11" x14ac:dyDescent="0.25">
      <c r="A11" t="s">
        <v>6</v>
      </c>
      <c r="B11">
        <v>1</v>
      </c>
      <c r="C11">
        <f>100-B11*100</f>
        <v>0</v>
      </c>
    </row>
    <row r="12" spans="1:11" x14ac:dyDescent="0.25">
      <c r="A12" t="s">
        <v>7</v>
      </c>
      <c r="B12" s="29">
        <v>0.9</v>
      </c>
      <c r="C12">
        <f t="shared" ref="C12:C13" si="0">100-B12*100</f>
        <v>10</v>
      </c>
    </row>
    <row r="13" spans="1:11" x14ac:dyDescent="0.25">
      <c r="A13" t="s">
        <v>8</v>
      </c>
      <c r="B13">
        <v>0</v>
      </c>
      <c r="C13">
        <f t="shared" si="0"/>
        <v>100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29">
        <v>56</v>
      </c>
      <c r="C16">
        <f>B16/$B$3</f>
        <v>8.2352941176470598</v>
      </c>
      <c r="D16">
        <f>$B$9*B16</f>
        <v>336</v>
      </c>
      <c r="F16">
        <f>D16</f>
        <v>336</v>
      </c>
      <c r="G16">
        <f>D16 - ((1-$B$5)*D16*Shield!C4/(Shield!C4+Ships!B4))</f>
        <v>308.5090909090909</v>
      </c>
      <c r="H16">
        <f>D16 - ((1-$B$6)*D16*Plating!C4/(Plating!C4+Ships!B4))</f>
        <v>332.94545454545454</v>
      </c>
      <c r="I16">
        <f>G16 - ((1-$B$6)*G16*Plating!C4/(Plating!C4+Ships!B4))</f>
        <v>305.70446280991735</v>
      </c>
      <c r="K16">
        <v>400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107</v>
      </c>
      <c r="C19">
        <f>B19/$B$3</f>
        <v>15.73529411764706</v>
      </c>
      <c r="D19">
        <f>$B$9*B19</f>
        <v>642</v>
      </c>
      <c r="F19">
        <f>D19</f>
        <v>642</v>
      </c>
      <c r="G19">
        <f>D19 - ((1-$B$5)*D19*Shield!C7/(Shield!C7+Ships!B7))</f>
        <v>638.17350993377488</v>
      </c>
      <c r="H19">
        <f>D19 - ((1-$B$6)*D19*Plating!C7/(Plating!C7+Ships!B7))</f>
        <v>641.57483443708611</v>
      </c>
      <c r="I19">
        <f>G19 - ((1-$B$6)*G19*Plating!C7/(Plating!C7+Ships!B7))</f>
        <v>637.75087847024258</v>
      </c>
      <c r="K19">
        <v>468.57142857142856</v>
      </c>
    </row>
    <row r="20" spans="1:11" x14ac:dyDescent="0.25">
      <c r="A20" t="s">
        <v>12</v>
      </c>
      <c r="B20" s="29">
        <v>172</v>
      </c>
      <c r="C20">
        <f>B20/$B$3</f>
        <v>25.294117647058822</v>
      </c>
      <c r="D20">
        <f>$B$9*B20</f>
        <v>1032</v>
      </c>
      <c r="F20">
        <f>D20</f>
        <v>1032</v>
      </c>
      <c r="G20">
        <f>D20 - ((1-$B$5)*D20*Shield!C8/(Shield!C8+Ships!B8))</f>
        <v>1029.9405764966741</v>
      </c>
      <c r="H20">
        <f>D20 - ((1-$B$6)*D20*Plating!C8/(Plating!C8+Ships!B8))</f>
        <v>1031.7711751662971</v>
      </c>
      <c r="I20">
        <f>G20 - ((1-$B$6)*G20*Plating!C8/(Plating!C8+Ships!B8))</f>
        <v>1029.7122082978944</v>
      </c>
      <c r="K20">
        <v>674.28571428571422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155</v>
      </c>
      <c r="C23">
        <f>B23/$B$3</f>
        <v>22.794117647058822</v>
      </c>
      <c r="D23">
        <f>$B$9*B23</f>
        <v>930</v>
      </c>
      <c r="F23">
        <f>D23</f>
        <v>930</v>
      </c>
      <c r="G23">
        <f>D23 - ((1-$B$5)*D23*Shield!C11/(Shield!C11+Ships!B11))</f>
        <v>93</v>
      </c>
      <c r="H23">
        <f>D23 - ((1-$B$6)*D23*Plating!C11/(Plating!C11+Ships!B11))</f>
        <v>837</v>
      </c>
      <c r="I23">
        <f>G23 - ((1-$B$6)*G23*Plating!C11/(Plating!C11+Ships!B11))</f>
        <v>83.7</v>
      </c>
      <c r="K23">
        <v>605.71428571428567</v>
      </c>
    </row>
    <row r="24" spans="1:11" x14ac:dyDescent="0.25">
      <c r="A24" t="s">
        <v>12</v>
      </c>
      <c r="B24" s="29">
        <v>220</v>
      </c>
      <c r="C24">
        <f>B24/$B$3</f>
        <v>32.352941176470587</v>
      </c>
      <c r="D24">
        <f>$B$9*B24</f>
        <v>1320</v>
      </c>
      <c r="F24">
        <f>D24</f>
        <v>1320</v>
      </c>
      <c r="G24">
        <f>D24 - ((1-$B$5)*D24*Shield!C12/(Shield!C12+Ships!B12))</f>
        <v>132</v>
      </c>
      <c r="H24">
        <f>D24 - ((1-$B$6)*D24*Plating!C12/(Plating!C12+Ships!B12))</f>
        <v>1188</v>
      </c>
      <c r="I24">
        <f>G24 - ((1-$B$6)*G24*Plating!C12/(Plating!C12+Ships!B12))</f>
        <v>118.8</v>
      </c>
      <c r="K24">
        <v>925.71428571428555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202</v>
      </c>
      <c r="C27">
        <f>B27/$B$3</f>
        <v>29.705882352941178</v>
      </c>
      <c r="D27">
        <f>$B$9*B27</f>
        <v>1212</v>
      </c>
      <c r="F27">
        <f>D27</f>
        <v>1212</v>
      </c>
      <c r="G27">
        <f>D27 - ((1-$B$5)*D27*Shield!C15/(Shield!C15+Ships!B15))</f>
        <v>121.20000000000005</v>
      </c>
      <c r="H27">
        <f>D27 - ((1-$B$6)*D27*Plating!C15/(Plating!C15+Ships!B15))</f>
        <v>1090.8</v>
      </c>
      <c r="I27">
        <f>G27 - ((1-$B$6)*G27*Plating!C15/(Plating!C15+Ships!B15))</f>
        <v>109.08000000000004</v>
      </c>
      <c r="K27">
        <v>811.42857142857122</v>
      </c>
    </row>
    <row r="28" spans="1:11" x14ac:dyDescent="0.25">
      <c r="A28" t="s">
        <v>12</v>
      </c>
      <c r="B28" s="29">
        <v>269</v>
      </c>
      <c r="C28">
        <f>B28/$B$3</f>
        <v>39.558823529411768</v>
      </c>
      <c r="D28">
        <f>$B$9*B28</f>
        <v>1614</v>
      </c>
      <c r="F28">
        <f>D28</f>
        <v>1614</v>
      </c>
      <c r="G28">
        <f>D28 - ((1-$B$5)*D28*Shield!C16/(Shield!C16+Ships!B16))</f>
        <v>161.39999999999986</v>
      </c>
      <c r="H28">
        <f>D28 - ((1-$B$6)*D28*Plating!C16/(Plating!C16+Ships!B16))</f>
        <v>1452.6</v>
      </c>
      <c r="I28">
        <f>G28 - ((1-$B$6)*G28*Plating!C16/(Plating!C16+Ships!B16))</f>
        <v>145.25999999999988</v>
      </c>
      <c r="K28">
        <v>1268.5714285714282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258</v>
      </c>
      <c r="C31">
        <f>B31/$B$3</f>
        <v>37.941176470588239</v>
      </c>
      <c r="D31">
        <f>$B$9*B31</f>
        <v>1548</v>
      </c>
      <c r="F31">
        <f>D31</f>
        <v>1548</v>
      </c>
      <c r="G31">
        <f>D31 - ((1-$B$5)*D31*Shield!C19/(Shield!C19+Ships!B19))</f>
        <v>154.79999999999995</v>
      </c>
      <c r="H31">
        <f>D31 - ((1-$B$6)*D31*Plating!C19/(Plating!C19+Ships!B19))</f>
        <v>1393.2</v>
      </c>
      <c r="I31">
        <f>G31 - ((1-$B$6)*G31*Plating!C19/(Plating!C19+Ships!B19))</f>
        <v>139.31999999999996</v>
      </c>
      <c r="K31">
        <v>1154.285714285714</v>
      </c>
    </row>
    <row r="32" spans="1:11" x14ac:dyDescent="0.25">
      <c r="A32" t="s">
        <v>12</v>
      </c>
      <c r="B32" s="29">
        <v>338</v>
      </c>
      <c r="C32">
        <f>B32/$B$3</f>
        <v>49.705882352941181</v>
      </c>
      <c r="D32">
        <f>$B$9*B32</f>
        <v>2028</v>
      </c>
      <c r="F32">
        <f>D32</f>
        <v>2028</v>
      </c>
      <c r="G32">
        <f>D32 - ((1-$B$5)*D32*Shield!C20/(Shield!C20+Ships!B20))</f>
        <v>202.79999999999995</v>
      </c>
      <c r="H32">
        <f>D32 - ((1-$B$6)*D32*Plating!C20/(Plating!C20+Ships!B20))</f>
        <v>1825.2</v>
      </c>
      <c r="I32">
        <f>G32 - ((1-$B$6)*G32*Plating!C20/(Plating!C20+Ships!B20))</f>
        <v>182.51999999999995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38" sqref="D38"/>
    </sheetView>
  </sheetViews>
  <sheetFormatPr defaultRowHeight="15" x14ac:dyDescent="0.25"/>
  <cols>
    <col min="1" max="1" width="14" bestFit="1" customWidth="1"/>
    <col min="2" max="2" width="7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21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9</v>
      </c>
      <c r="F3" s="28">
        <f ca="1">Balance!K27</f>
        <v>1.3266028222453903</v>
      </c>
      <c r="G3" s="28">
        <f ca="1">Balance!L27</f>
        <v>1.4630068307650483</v>
      </c>
      <c r="H3" s="28">
        <f ca="1">Balance!M27</f>
        <v>1.4648129806794912</v>
      </c>
      <c r="I3" s="28">
        <f ca="1">Balance!N27</f>
        <v>1.3504200262879</v>
      </c>
    </row>
    <row r="4" spans="1:11" x14ac:dyDescent="0.25">
      <c r="A4" t="s">
        <v>3</v>
      </c>
      <c r="B4">
        <v>0</v>
      </c>
      <c r="F4" s="3">
        <f ca="1">Balance!K19</f>
        <v>1957.2224000000003</v>
      </c>
      <c r="G4" s="3">
        <f ca="1">Balance!L19</f>
        <v>2158.4679999999994</v>
      </c>
      <c r="H4" s="3">
        <f ca="1">Balance!M19</f>
        <v>2071.1754999999998</v>
      </c>
      <c r="I4" s="3">
        <f ca="1">Balance!N19</f>
        <v>1909.4293333333335</v>
      </c>
      <c r="J4" s="3" t="s">
        <v>93</v>
      </c>
    </row>
    <row r="5" spans="1:11" x14ac:dyDescent="0.25">
      <c r="A5" t="s">
        <v>4</v>
      </c>
      <c r="B5">
        <v>0.9</v>
      </c>
      <c r="F5" s="3">
        <f ca="1">Balance!K25</f>
        <v>1475.3642666666665</v>
      </c>
      <c r="G5" s="3">
        <f ca="1">Balance!L25</f>
        <v>1475.3642666666665</v>
      </c>
      <c r="H5" s="3">
        <f ca="1">Balance!M25</f>
        <v>1413.9521750000001</v>
      </c>
      <c r="I5" s="3">
        <f ca="1">Balance!N25</f>
        <v>1413.9521750000001</v>
      </c>
      <c r="J5" s="3" t="s">
        <v>94</v>
      </c>
    </row>
    <row r="6" spans="1:11" x14ac:dyDescent="0.25">
      <c r="A6" t="s">
        <v>5</v>
      </c>
      <c r="B6">
        <v>0.1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5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29">
        <v>0.62</v>
      </c>
      <c r="C12">
        <f t="shared" ref="C12:C13" si="0">100-B12*100</f>
        <v>38</v>
      </c>
    </row>
    <row r="13" spans="1:11" x14ac:dyDescent="0.25">
      <c r="A13" t="s">
        <v>8</v>
      </c>
      <c r="B13">
        <v>1</v>
      </c>
      <c r="C13">
        <f t="shared" si="0"/>
        <v>0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29">
        <v>65</v>
      </c>
      <c r="C16">
        <f>B16/$B$3</f>
        <v>7.2222222222222223</v>
      </c>
      <c r="D16">
        <f>$B$9*B16</f>
        <v>325</v>
      </c>
      <c r="F16">
        <f>D16</f>
        <v>325</v>
      </c>
      <c r="G16">
        <f>D16 - ((1-$B$5)*D16*Shield!C4/(Shield!C4+Ships!B4))</f>
        <v>322.04545454545456</v>
      </c>
      <c r="H16">
        <f>D16 - ((1-$B$6)*D16*Plating!C4/(Plating!C4+Ships!B4))</f>
        <v>298.40909090909093</v>
      </c>
      <c r="I16">
        <f>G16 - ((1-$B$6)*G16*Plating!C4/(Plating!C4+Ships!B4))</f>
        <v>295.69628099173553</v>
      </c>
      <c r="K16">
        <v>400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123</v>
      </c>
      <c r="C19">
        <f>B19/$B$3</f>
        <v>13.666666666666666</v>
      </c>
      <c r="D19">
        <f>$B$9*B19</f>
        <v>615</v>
      </c>
      <c r="F19">
        <f>D19</f>
        <v>615</v>
      </c>
      <c r="G19">
        <f>D19 - ((1-$B$5)*D19*Shield!C7/(Shield!C7+Ships!B7))</f>
        <v>614.59271523178813</v>
      </c>
      <c r="H19">
        <f>D19 - ((1-$B$6)*D19*Plating!C7/(Plating!C7+Ships!B7))</f>
        <v>611.33443708609275</v>
      </c>
      <c r="I19">
        <f>G19 - ((1-$B$6)*G19*Plating!C7/(Plating!C7+Ships!B7))</f>
        <v>610.92957984298937</v>
      </c>
      <c r="K19">
        <v>468.57142857142856</v>
      </c>
    </row>
    <row r="20" spans="1:11" x14ac:dyDescent="0.25">
      <c r="A20" t="s">
        <v>12</v>
      </c>
      <c r="B20" s="29">
        <v>199</v>
      </c>
      <c r="C20">
        <f>B20/$B$3</f>
        <v>22.111111111111111</v>
      </c>
      <c r="D20">
        <f>$B$9*B20</f>
        <v>995</v>
      </c>
      <c r="F20">
        <f>D20</f>
        <v>995</v>
      </c>
      <c r="G20">
        <f>D20 - ((1-$B$5)*D20*Shield!C8/(Shield!C8+Ships!B8))</f>
        <v>994.77937915742791</v>
      </c>
      <c r="H20">
        <f>D20 - ((1-$B$6)*D20*Plating!C8/(Plating!C8+Ships!B8))</f>
        <v>993.01441241685143</v>
      </c>
      <c r="I20">
        <f>G20 - ((1-$B$6)*G20*Plating!C8/(Plating!C8+Ships!B8))</f>
        <v>992.79423183760161</v>
      </c>
      <c r="K20">
        <v>674.28571428571422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181</v>
      </c>
      <c r="C23">
        <f>B23/$B$3</f>
        <v>20.111111111111111</v>
      </c>
      <c r="D23">
        <f>$B$9*B23</f>
        <v>905</v>
      </c>
      <c r="F23">
        <f>D23</f>
        <v>905</v>
      </c>
      <c r="G23">
        <f>D23 - ((1-$B$5)*D23*Shield!C11/(Shield!C11+Ships!B11))</f>
        <v>814.5</v>
      </c>
      <c r="H23">
        <f>D23 - ((1-$B$6)*D23*Plating!C11/(Plating!C11+Ships!B11))</f>
        <v>90.5</v>
      </c>
      <c r="I23">
        <f>G23 - ((1-$B$6)*G23*Plating!C11/(Plating!C11+Ships!B11))</f>
        <v>81.449999999999932</v>
      </c>
      <c r="K23">
        <v>605.71428571428567</v>
      </c>
    </row>
    <row r="24" spans="1:11" x14ac:dyDescent="0.25">
      <c r="A24" t="s">
        <v>12</v>
      </c>
      <c r="B24" s="29">
        <v>256</v>
      </c>
      <c r="C24">
        <f>B24/$B$3</f>
        <v>28.444444444444443</v>
      </c>
      <c r="D24">
        <f>$B$9*B24</f>
        <v>1280</v>
      </c>
      <c r="F24">
        <f>D24</f>
        <v>1280</v>
      </c>
      <c r="G24">
        <f>D24 - ((1-$B$5)*D24*Shield!C12/(Shield!C12+Ships!B12))</f>
        <v>1152</v>
      </c>
      <c r="H24">
        <f>D24 - ((1-$B$6)*D24*Plating!C12/(Plating!C12+Ships!B12))</f>
        <v>128</v>
      </c>
      <c r="I24">
        <f>G24 - ((1-$B$6)*G24*Plating!C12/(Plating!C12+Ships!B12))</f>
        <v>115.20000000000005</v>
      </c>
      <c r="K24">
        <v>925.71428571428555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235</v>
      </c>
      <c r="C27">
        <f>B27/$B$3</f>
        <v>26.111111111111111</v>
      </c>
      <c r="D27">
        <f>$B$9*B27</f>
        <v>1175</v>
      </c>
      <c r="F27">
        <f>D27</f>
        <v>1175</v>
      </c>
      <c r="G27">
        <f>D27 - ((1-$B$5)*D27*Shield!C15/(Shield!C15+Ships!B15))</f>
        <v>1057.5</v>
      </c>
      <c r="H27">
        <f>D27 - ((1-$B$6)*D27*Plating!C15/(Plating!C15+Ships!B15))</f>
        <v>117.5</v>
      </c>
      <c r="I27">
        <f>G27 - ((1-$B$6)*G27*Plating!C15/(Plating!C15+Ships!B15))</f>
        <v>105.75</v>
      </c>
      <c r="K27">
        <v>811.42857142857122</v>
      </c>
    </row>
    <row r="28" spans="1:11" x14ac:dyDescent="0.25">
      <c r="A28" t="s">
        <v>12</v>
      </c>
      <c r="B28" s="29">
        <v>313</v>
      </c>
      <c r="C28">
        <f>B28/$B$3</f>
        <v>34.777777777777779</v>
      </c>
      <c r="D28">
        <f>$B$9*B28</f>
        <v>1565</v>
      </c>
      <c r="F28">
        <f>D28</f>
        <v>1565</v>
      </c>
      <c r="G28">
        <f>D28 - ((1-$B$5)*D28*Shield!C16/(Shield!C16+Ships!B16))</f>
        <v>1408.5</v>
      </c>
      <c r="H28">
        <f>D28 - ((1-$B$6)*D28*Plating!C16/(Plating!C16+Ships!B16))</f>
        <v>156.5</v>
      </c>
      <c r="I28">
        <f>G28 - ((1-$B$6)*G28*Plating!C16/(Plating!C16+Ships!B16))</f>
        <v>140.84999999999991</v>
      </c>
      <c r="K28">
        <v>1268.5714285714282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301</v>
      </c>
      <c r="C31">
        <f>B31/$B$3</f>
        <v>33.444444444444443</v>
      </c>
      <c r="D31">
        <f>$B$9*B31</f>
        <v>1505</v>
      </c>
      <c r="F31">
        <f>D31</f>
        <v>1505</v>
      </c>
      <c r="G31">
        <f>D31 - ((1-$B$5)*D31*Shield!C19/(Shield!C19+Ships!B19))</f>
        <v>1354.5</v>
      </c>
      <c r="H31">
        <f>D31 - ((1-$B$6)*D31*Plating!C19/(Plating!C19+Ships!B19))</f>
        <v>150.5</v>
      </c>
      <c r="I31">
        <f>G31 - ((1-$B$6)*G31*Plating!C19/(Plating!C19+Ships!B19))</f>
        <v>135.45000000000005</v>
      </c>
      <c r="K31">
        <v>1154.285714285714</v>
      </c>
    </row>
    <row r="32" spans="1:11" x14ac:dyDescent="0.25">
      <c r="A32" t="s">
        <v>12</v>
      </c>
      <c r="B32" s="29">
        <v>393</v>
      </c>
      <c r="C32">
        <f>B32/$B$3</f>
        <v>43.666666666666664</v>
      </c>
      <c r="D32">
        <f>$B$9*B32</f>
        <v>1965</v>
      </c>
      <c r="F32">
        <f>D32</f>
        <v>1965</v>
      </c>
      <c r="G32">
        <f>D32 - ((1-$B$5)*D32*Shield!C20/(Shield!C20+Ships!B20))</f>
        <v>1768.5</v>
      </c>
      <c r="H32">
        <f>D32 - ((1-$B$6)*D32*Plating!C20/(Plating!C20+Ships!B20))</f>
        <v>196.5</v>
      </c>
      <c r="I32">
        <f>G32 - ((1-$B$6)*G32*Plating!C20/(Plating!C20+Ships!B20))</f>
        <v>176.84999999999991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B32" sqref="B32"/>
    </sheetView>
  </sheetViews>
  <sheetFormatPr defaultRowHeight="15" x14ac:dyDescent="0.25"/>
  <cols>
    <col min="1" max="1" width="14" bestFit="1" customWidth="1"/>
    <col min="2" max="2" width="6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0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1.8</v>
      </c>
      <c r="F3" s="28">
        <f ca="1">Balance!K27</f>
        <v>1.3266028222453903</v>
      </c>
      <c r="G3" s="28">
        <f ca="1">Balance!L27</f>
        <v>1.4630068307650483</v>
      </c>
      <c r="H3" s="28">
        <f ca="1">Balance!M27</f>
        <v>1.4648129806794912</v>
      </c>
      <c r="I3" s="28">
        <f ca="1">Balance!N27</f>
        <v>1.3504200262879</v>
      </c>
    </row>
    <row r="4" spans="1:11" x14ac:dyDescent="0.25">
      <c r="A4" t="s">
        <v>3</v>
      </c>
      <c r="B4">
        <v>0</v>
      </c>
      <c r="F4" s="3">
        <f ca="1">Balance!K19</f>
        <v>1957.2224000000003</v>
      </c>
      <c r="G4" s="3">
        <f ca="1">Balance!L19</f>
        <v>2158.4679999999994</v>
      </c>
      <c r="H4" s="3">
        <f ca="1">Balance!M19</f>
        <v>2071.1754999999998</v>
      </c>
      <c r="I4" s="3">
        <f ca="1">Balance!N19</f>
        <v>1909.4293333333335</v>
      </c>
      <c r="J4" s="3" t="s">
        <v>93</v>
      </c>
    </row>
    <row r="5" spans="1:11" x14ac:dyDescent="0.25">
      <c r="A5" t="s">
        <v>4</v>
      </c>
      <c r="B5">
        <v>0.3</v>
      </c>
      <c r="F5" s="3">
        <f ca="1">Balance!K25</f>
        <v>1475.3642666666665</v>
      </c>
      <c r="G5" s="3">
        <f ca="1">Balance!L25</f>
        <v>1475.3642666666665</v>
      </c>
      <c r="H5" s="3">
        <f ca="1">Balance!M25</f>
        <v>1413.9521750000001</v>
      </c>
      <c r="I5" s="3">
        <f ca="1">Balance!N25</f>
        <v>1413.9521750000001</v>
      </c>
      <c r="J5" s="3" t="s">
        <v>94</v>
      </c>
    </row>
    <row r="6" spans="1:11" x14ac:dyDescent="0.25">
      <c r="A6" t="s">
        <v>5</v>
      </c>
      <c r="B6">
        <v>0.8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23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29">
        <v>0.38</v>
      </c>
      <c r="C12">
        <f t="shared" ref="C12:C13" si="0">100-B12*100</f>
        <v>62</v>
      </c>
    </row>
    <row r="13" spans="1:11" x14ac:dyDescent="0.25">
      <c r="A13" t="s">
        <v>8</v>
      </c>
      <c r="B13" s="29">
        <v>0.62</v>
      </c>
      <c r="C13">
        <f t="shared" si="0"/>
        <v>38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</row>
    <row r="16" spans="1:11" x14ac:dyDescent="0.25">
      <c r="A16" t="s">
        <v>10</v>
      </c>
      <c r="B16" s="29">
        <v>11</v>
      </c>
      <c r="C16">
        <f>B16/$B$3</f>
        <v>6.1111111111111107</v>
      </c>
      <c r="D16">
        <f>$B$9*B16</f>
        <v>253</v>
      </c>
      <c r="F16">
        <f>D16</f>
        <v>253</v>
      </c>
      <c r="G16">
        <f>D16 - ((1-$B$5)*D16*Shield!C4/(Shield!C4+Ships!B4))</f>
        <v>236.9</v>
      </c>
      <c r="H16">
        <f>D16 - ((1-$B$6)*D16*Plating!C4/(Plating!C4+Ships!B4))</f>
        <v>248.4</v>
      </c>
      <c r="I16">
        <f>G16 - ((1-$B$6)*G16*Plating!C4/(Plating!C4+Ships!B4))</f>
        <v>232.59272727272727</v>
      </c>
      <c r="K16">
        <v>350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21</v>
      </c>
      <c r="C19">
        <f>B19/$B$3</f>
        <v>11.666666666666666</v>
      </c>
      <c r="D19">
        <f>$B$9*B19</f>
        <v>483</v>
      </c>
      <c r="F19">
        <f>D19</f>
        <v>483</v>
      </c>
      <c r="G19">
        <f>D19 - ((1-$B$5)*D19*Shield!C7/(Shield!C7+Ships!B7))</f>
        <v>480.76092715231789</v>
      </c>
      <c r="H19">
        <f>D19 - ((1-$B$6)*D19*Plating!C7/(Plating!C7+Ships!B7))</f>
        <v>482.36026490066223</v>
      </c>
      <c r="I19">
        <f>G19 - ((1-$B$6)*G19*Plating!C7/(Plating!C7+Ships!B7))</f>
        <v>480.12415771238102</v>
      </c>
      <c r="K19">
        <v>410</v>
      </c>
    </row>
    <row r="20" spans="1:11" x14ac:dyDescent="0.25">
      <c r="A20" t="s">
        <v>12</v>
      </c>
      <c r="B20" s="29">
        <v>34</v>
      </c>
      <c r="C20">
        <f>B20/$B$3</f>
        <v>18.888888888888889</v>
      </c>
      <c r="D20">
        <f>$B$9*B20</f>
        <v>782</v>
      </c>
      <c r="F20">
        <f>D20</f>
        <v>782</v>
      </c>
      <c r="G20">
        <f>D20 - ((1-$B$5)*D20*Shield!C8/(Shield!C8+Ships!B8))</f>
        <v>780.78625277161859</v>
      </c>
      <c r="H20">
        <f>D20 - ((1-$B$6)*D20*Plating!C8/(Plating!C8+Ships!B8))</f>
        <v>781.6532150776053</v>
      </c>
      <c r="I20">
        <f>G20 - ((1-$B$6)*G20*Plating!C8/(Plating!C8+Ships!B8))</f>
        <v>780.4400060963319</v>
      </c>
      <c r="K20">
        <v>590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28</v>
      </c>
      <c r="C23">
        <f>B23/$B$3</f>
        <v>15.555555555555555</v>
      </c>
      <c r="D23">
        <f>$B$9*B23</f>
        <v>644</v>
      </c>
      <c r="F23">
        <f>D23</f>
        <v>644</v>
      </c>
      <c r="G23">
        <f>D23 - ((1-$B$5)*D23*Shield!C11/(Shield!C11+Ships!B11))</f>
        <v>193.20000000000005</v>
      </c>
      <c r="H23">
        <f>D23 - ((1-$B$6)*D23*Plating!C11/(Plating!C11+Ships!B11))</f>
        <v>515.20000000000005</v>
      </c>
      <c r="I23">
        <f>G23 - ((1-$B$6)*G23*Plating!C11/(Plating!C11+Ships!B11))</f>
        <v>154.56000000000006</v>
      </c>
      <c r="K23">
        <v>530</v>
      </c>
    </row>
    <row r="24" spans="1:11" x14ac:dyDescent="0.25">
      <c r="A24" t="s">
        <v>12</v>
      </c>
      <c r="B24" s="29">
        <v>40</v>
      </c>
      <c r="C24">
        <f>B24/$B$3</f>
        <v>22.222222222222221</v>
      </c>
      <c r="D24">
        <f>$B$9*B24</f>
        <v>920</v>
      </c>
      <c r="F24">
        <f>D24</f>
        <v>920</v>
      </c>
      <c r="G24">
        <f>D24 - ((1-$B$5)*D24*Shield!C12/(Shield!C12+Ships!B12))</f>
        <v>276</v>
      </c>
      <c r="H24">
        <f>D24 - ((1-$B$6)*D24*Plating!C12/(Plating!C12+Ships!B12))</f>
        <v>736</v>
      </c>
      <c r="I24">
        <f>G24 - ((1-$B$6)*G24*Plating!C12/(Plating!C12+Ships!B12))</f>
        <v>220.8</v>
      </c>
      <c r="K24">
        <v>810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36</v>
      </c>
      <c r="C27">
        <f>B27/$B$3</f>
        <v>20</v>
      </c>
      <c r="D27">
        <f>$B$9*B27</f>
        <v>828</v>
      </c>
      <c r="F27">
        <f>D27</f>
        <v>828</v>
      </c>
      <c r="G27">
        <f>D27 - ((1-$B$5)*D27*Shield!C15/(Shield!C15+Ships!B15))</f>
        <v>248.40000000000009</v>
      </c>
      <c r="H27">
        <f>D27 - ((1-$B$6)*D27*Plating!C15/(Plating!C15+Ships!B15))</f>
        <v>662.40000000000009</v>
      </c>
      <c r="I27">
        <f>G27 - ((1-$B$6)*G27*Plating!C15/(Plating!C15+Ships!B15))</f>
        <v>198.72000000000008</v>
      </c>
      <c r="K27">
        <v>710</v>
      </c>
    </row>
    <row r="28" spans="1:11" x14ac:dyDescent="0.25">
      <c r="A28" t="s">
        <v>12</v>
      </c>
      <c r="B28" s="29">
        <v>49</v>
      </c>
      <c r="C28">
        <f>B28/$B$3</f>
        <v>27.222222222222221</v>
      </c>
      <c r="D28">
        <f>$B$9*B28</f>
        <v>1127</v>
      </c>
      <c r="F28">
        <f>D28</f>
        <v>1127</v>
      </c>
      <c r="G28">
        <f>D28 - ((1-$B$5)*D28*Shield!C16/(Shield!C16+Ships!B16))</f>
        <v>338.1</v>
      </c>
      <c r="H28">
        <f>D28 - ((1-$B$6)*D28*Plating!C16/(Plating!C16+Ships!B16))</f>
        <v>901.6</v>
      </c>
      <c r="I28">
        <f>G28 - ((1-$B$6)*G28*Plating!C16/(Plating!C16+Ships!B16))</f>
        <v>270.48</v>
      </c>
      <c r="K28">
        <v>1110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46</v>
      </c>
      <c r="C31">
        <f>B31/$B$3</f>
        <v>25.555555555555554</v>
      </c>
      <c r="D31">
        <f>$B$9*B31</f>
        <v>1058</v>
      </c>
      <c r="F31">
        <f>D31</f>
        <v>1058</v>
      </c>
      <c r="G31">
        <f>D31 - ((1-$B$5)*D31*Shield!C19/(Shield!C19+Ships!B19))</f>
        <v>317.40000000000009</v>
      </c>
      <c r="H31">
        <f>D31 - ((1-$B$6)*D31*Plating!C19/(Plating!C19+Ships!B19))</f>
        <v>846.40000000000009</v>
      </c>
      <c r="I31">
        <f>G31 - ((1-$B$6)*G31*Plating!C19/(Plating!C19+Ships!B19))</f>
        <v>253.9200000000001</v>
      </c>
      <c r="K31">
        <v>1010</v>
      </c>
    </row>
    <row r="32" spans="1:11" x14ac:dyDescent="0.25">
      <c r="A32" t="s">
        <v>12</v>
      </c>
      <c r="B32" s="29">
        <v>60</v>
      </c>
      <c r="C32">
        <f>B32/$B$3</f>
        <v>33.333333333333336</v>
      </c>
      <c r="D32">
        <f>$B$9*B32</f>
        <v>1380</v>
      </c>
      <c r="F32">
        <f>D32</f>
        <v>1380</v>
      </c>
      <c r="G32">
        <f>D32 - ((1-$B$5)*D32*Shield!C20/(Shield!C20+Ships!B20))</f>
        <v>414.00000000000011</v>
      </c>
      <c r="H32">
        <f>D32 - ((1-$B$6)*D32*Plating!C20/(Plating!C20+Ships!B20))</f>
        <v>1104</v>
      </c>
      <c r="I32">
        <f>G32 - ((1-$B$6)*G32*Plating!C20/(Plating!C20+Ships!B20))</f>
        <v>331.2000000000001</v>
      </c>
      <c r="K32">
        <v>1650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7"/>
  <sheetViews>
    <sheetView topLeftCell="J1" workbookViewId="0">
      <selection activeCell="S10" sqref="S10"/>
    </sheetView>
  </sheetViews>
  <sheetFormatPr defaultRowHeight="15" x14ac:dyDescent="0.25"/>
  <cols>
    <col min="1" max="1" width="25.140625" bestFit="1" customWidth="1"/>
    <col min="2" max="2" width="27.28515625" bestFit="1" customWidth="1"/>
    <col min="3" max="6" width="12.5703125" bestFit="1" customWidth="1"/>
    <col min="7" max="7" width="6.5703125" bestFit="1" customWidth="1"/>
    <col min="8" max="9" width="17.7109375" customWidth="1"/>
    <col min="10" max="10" width="47" bestFit="1" customWidth="1"/>
    <col min="11" max="12" width="16.85546875" bestFit="1" customWidth="1"/>
    <col min="13" max="14" width="16.28515625" bestFit="1" customWidth="1"/>
  </cols>
  <sheetData>
    <row r="3" spans="1:19" x14ac:dyDescent="0.25">
      <c r="A3" s="1" t="s">
        <v>22</v>
      </c>
      <c r="C3" s="14" t="s">
        <v>1</v>
      </c>
      <c r="D3" s="18" t="s">
        <v>19</v>
      </c>
      <c r="E3" s="14" t="s">
        <v>21</v>
      </c>
      <c r="F3" s="18" t="s">
        <v>0</v>
      </c>
      <c r="K3" s="14" t="s">
        <v>1</v>
      </c>
      <c r="L3" s="18" t="s">
        <v>19</v>
      </c>
      <c r="M3" s="14" t="s">
        <v>21</v>
      </c>
      <c r="N3" s="18" t="s">
        <v>0</v>
      </c>
    </row>
    <row r="4" spans="1:19" x14ac:dyDescent="0.25">
      <c r="A4" s="3" t="s">
        <v>23</v>
      </c>
      <c r="B4" t="s">
        <v>28</v>
      </c>
      <c r="C4" s="15">
        <f ca="1">3*(1-INDIRECT("'"&amp;C$3&amp;"'!B13"))</f>
        <v>3</v>
      </c>
      <c r="D4" s="19">
        <f t="shared" ref="D4:F4" ca="1" si="0">3*(1-INDIRECT("'"&amp;D$3&amp;"'!B13"))</f>
        <v>3</v>
      </c>
      <c r="E4" s="15">
        <f t="shared" ca="1" si="0"/>
        <v>0</v>
      </c>
      <c r="F4" s="19">
        <f t="shared" ca="1" si="0"/>
        <v>1.1400000000000001</v>
      </c>
      <c r="J4" s="1" t="s">
        <v>41</v>
      </c>
      <c r="K4" s="15">
        <f ca="1">MAX($C$7,$C$15,$C$23)</f>
        <v>7.62</v>
      </c>
      <c r="L4" s="19">
        <f ca="1">MAX($D$7,$D$15,$D$23)</f>
        <v>6.1999999999999993</v>
      </c>
      <c r="M4" s="15">
        <f ca="1">MAX($E$7,$E$15,$E$23)</f>
        <v>6.14</v>
      </c>
      <c r="N4" s="19">
        <f ca="1">MAX($F$7,$F$15,$F$23)</f>
        <v>7.24</v>
      </c>
    </row>
    <row r="5" spans="1:19" x14ac:dyDescent="0.25">
      <c r="A5" s="3" t="s">
        <v>24</v>
      </c>
      <c r="B5" t="s">
        <v>31</v>
      </c>
      <c r="C5" s="15">
        <f ca="1">3-INDIRECT("'"&amp;C$3&amp;"'!B12")-INDIRECT("'"&amp;C$3&amp;"'!B13")-INDIRECT("'"&amp;C$3&amp;"'!B13")</f>
        <v>2.62</v>
      </c>
      <c r="D5" s="19">
        <f t="shared" ref="D5:F5" ca="1" si="1">3-INDIRECT("'"&amp;D$3&amp;"'!B12")-INDIRECT("'"&amp;D$3&amp;"'!B13")-INDIRECT("'"&amp;D$3&amp;"'!B13")</f>
        <v>2.1</v>
      </c>
      <c r="E5" s="15">
        <f t="shared" ca="1" si="1"/>
        <v>0.37999999999999989</v>
      </c>
      <c r="F5" s="19">
        <f t="shared" ca="1" si="1"/>
        <v>1.38</v>
      </c>
      <c r="J5" s="1" t="s">
        <v>45</v>
      </c>
      <c r="K5" s="15">
        <f ca="1">C26-K4-K6</f>
        <v>6.1</v>
      </c>
      <c r="L5" s="19">
        <f ca="1">D26-L4-L6</f>
        <v>2.6</v>
      </c>
      <c r="M5" s="15">
        <f ca="1">E26-M4-M6</f>
        <v>3.2800000000000002</v>
      </c>
      <c r="N5" s="19">
        <f ca="1">F26-N4-N6</f>
        <v>5.4800000000000022</v>
      </c>
    </row>
    <row r="6" spans="1:19" x14ac:dyDescent="0.25">
      <c r="A6" s="3" t="s">
        <v>25</v>
      </c>
      <c r="B6" t="s">
        <v>32</v>
      </c>
      <c r="C6" s="15">
        <f ca="1">3-INDIRECT("'"&amp;C$3&amp;"'!B11")-INDIRECT("'"&amp;C$3&amp;"'!B12")-INDIRECT("'"&amp;C$3&amp;"'!B13")</f>
        <v>2</v>
      </c>
      <c r="D6" s="19">
        <f t="shared" ref="D6:F6" ca="1" si="2">3-INDIRECT("'"&amp;D$3&amp;"'!B11")-INDIRECT("'"&amp;D$3&amp;"'!B12")-INDIRECT("'"&amp;D$3&amp;"'!B13")</f>
        <v>1.1000000000000001</v>
      </c>
      <c r="E6" s="15">
        <f t="shared" ca="1" si="2"/>
        <v>1.38</v>
      </c>
      <c r="F6" s="19">
        <f t="shared" ca="1" si="2"/>
        <v>2</v>
      </c>
      <c r="J6" s="1" t="s">
        <v>44</v>
      </c>
      <c r="K6" s="15">
        <f ca="1">MIN($C$7,$C$15,$C$23)</f>
        <v>4.76</v>
      </c>
      <c r="L6" s="19">
        <f ca="1">MIN($D$7,$D$15,$D$23)</f>
        <v>1.3000000000000003</v>
      </c>
      <c r="M6" s="15">
        <f ca="1">MIN($E$7,$E$15,$E$23)</f>
        <v>1.7599999999999998</v>
      </c>
      <c r="N6" s="19">
        <f ca="1">MIN($F$7,$F$15,$F$23)</f>
        <v>4.5199999999999996</v>
      </c>
    </row>
    <row r="7" spans="1:19" x14ac:dyDescent="0.25">
      <c r="B7" s="3" t="s">
        <v>42</v>
      </c>
      <c r="C7" s="23">
        <f ca="1">SUM(C4:C6)</f>
        <v>7.62</v>
      </c>
      <c r="D7" s="26">
        <f t="shared" ref="D7:F7" ca="1" si="3">SUM(D4:D6)</f>
        <v>6.1999999999999993</v>
      </c>
      <c r="E7" s="23">
        <f t="shared" ca="1" si="3"/>
        <v>1.7599999999999998</v>
      </c>
      <c r="F7" s="26">
        <f t="shared" ca="1" si="3"/>
        <v>4.5199999999999996</v>
      </c>
      <c r="G7" s="3">
        <f ca="1">SUM(C7:F7)</f>
        <v>20.100000000000001</v>
      </c>
      <c r="H7" s="3"/>
      <c r="I7" s="3"/>
      <c r="J7" s="1" t="s">
        <v>46</v>
      </c>
      <c r="K7" s="16">
        <f ca="1">((K6/(3*K4)) + (K5/(3*K4)) + (1/3))</f>
        <v>0.80839895013123364</v>
      </c>
      <c r="L7" s="20">
        <f ca="1">((L6/(3*L4)) + (L5/(3*L4)) + (1/3))</f>
        <v>0.543010752688172</v>
      </c>
      <c r="M7" s="16">
        <f ca="1">((M6/(3*M4)) + (M5/(3*M4)) + (1/3))</f>
        <v>0.60694896851248648</v>
      </c>
      <c r="N7" s="20">
        <f ca="1">((N6/(3*N4)) + (N5/(3*N4)) + (1/3))</f>
        <v>0.79373848987108664</v>
      </c>
    </row>
    <row r="8" spans="1:19" x14ac:dyDescent="0.25">
      <c r="B8" s="3" t="s">
        <v>48</v>
      </c>
      <c r="C8" s="24">
        <f ca="1">((((C4-(C7/3))^2) + ((C5-(C7/3))^2) + (C6-(C7/3))^2))/3</f>
        <v>0.16986666666666669</v>
      </c>
      <c r="D8" s="27">
        <f ca="1">((((D4-(D7/3))^2) + ((D5-(D7/3))^2) + (D6-(D7/3))^2))/3</f>
        <v>0.60222222222222221</v>
      </c>
      <c r="E8" s="24">
        <f ca="1">((((E4-(E7/3))^2) + ((E5-(E7/3))^2) + (E6-(E7/3))^2))/3</f>
        <v>0.33875555555555553</v>
      </c>
      <c r="F8" s="27">
        <f ca="1">((((F4-(F7/3))^2) + ((F5-(F7/3))^2) + (F6-(F7/3))^2))/3</f>
        <v>0.13128888888888887</v>
      </c>
      <c r="G8" s="3"/>
      <c r="H8" s="3"/>
      <c r="I8" s="3"/>
      <c r="J8" s="1" t="s">
        <v>50</v>
      </c>
      <c r="K8" s="17" t="str">
        <f ca="1">INDIRECT("$A" &amp; (8*MATCH(MAX(C7,C15,C23),CHOOSE({1;2;3},C7,C15,C23),0))-5)</f>
        <v>Want Short Range</v>
      </c>
      <c r="L8" s="21" t="str">
        <f ca="1">INDIRECT("$A" &amp; (8*MATCH(MAX(D7,D15,D23),CHOOSE({1;2;3},D7,D15,D23),0))-5)</f>
        <v>Want Short Range</v>
      </c>
      <c r="M8" s="17" t="str">
        <f ca="1">INDIRECT("$A" &amp; (8*MATCH(MAX(E7,E15,E23),CHOOSE({1;2;3},E7,E15,E23),0))-5)</f>
        <v>Want Long Range</v>
      </c>
      <c r="N8" s="21" t="str">
        <f ca="1">INDIRECT("$A" &amp; (8*MATCH(MAX(F7,F15,F23),CHOOSE({1;2;3},F7,F15,F23),0))-5)</f>
        <v>Want Long Range</v>
      </c>
    </row>
    <row r="9" spans="1:19" x14ac:dyDescent="0.25">
      <c r="B9" s="3" t="s">
        <v>49</v>
      </c>
      <c r="C9" s="24">
        <f ca="1">3-C7/3</f>
        <v>0.45999999999999996</v>
      </c>
      <c r="D9" s="27">
        <f ca="1">3-D7/3</f>
        <v>0.93333333333333357</v>
      </c>
      <c r="E9" s="24">
        <f ca="1">3-E7/3</f>
        <v>2.4133333333333336</v>
      </c>
      <c r="F9" s="27">
        <f ca="1">3-F7/3</f>
        <v>1.4933333333333334</v>
      </c>
      <c r="G9" s="3"/>
      <c r="H9" s="3"/>
      <c r="I9" s="3"/>
      <c r="J9" s="1" t="s">
        <v>51</v>
      </c>
      <c r="K9" s="17" t="str">
        <f ca="1">INDIRECT("$A" &amp; (8*MATCH(MIN(C9,C17,C25),CHOOSE({1;2;3},C9,C17,C25),0))-5)</f>
        <v>Want Short Range</v>
      </c>
      <c r="L9" s="21" t="str">
        <f ca="1">INDIRECT("$A" &amp; (8*MATCH(MIN(D9,D17,D25),CHOOSE({1;2;3},D9,D17,D25),0))-5)</f>
        <v>Want Short Range</v>
      </c>
      <c r="M9" s="17" t="str">
        <f ca="1">INDIRECT("$A" &amp; (8*MATCH(MIN(E9,E17,E25),CHOOSE({1;2;3},E9,E17,E25),0))-5)</f>
        <v>Want Long Range</v>
      </c>
      <c r="N9" s="21" t="str">
        <f ca="1">INDIRECT("$A" &amp; (8*MATCH(MIN(F9,F17,F25),CHOOSE({1;2;3},F9,F17,F25),0))-5)</f>
        <v>Want Long Range</v>
      </c>
      <c r="S9">
        <v>1687</v>
      </c>
    </row>
    <row r="10" spans="1:19" x14ac:dyDescent="0.25">
      <c r="B10" s="3"/>
      <c r="C10" s="23"/>
      <c r="D10" s="26"/>
      <c r="E10" s="23"/>
      <c r="F10" s="26"/>
      <c r="G10" s="3"/>
      <c r="H10" s="3"/>
      <c r="I10" s="3"/>
      <c r="J10" s="1" t="s">
        <v>52</v>
      </c>
      <c r="K10" s="17" t="str">
        <f ca="1">INDIRECT("$A" &amp; (8*MATCH(MIN(C8,C16,C24),CHOOSE({1;2;3},C8,C16,C24),0))-5)</f>
        <v>Want Long Range</v>
      </c>
      <c r="L10" s="21" t="str">
        <f ca="1">INDIRECT("$A" &amp; (8*MATCH(MIN(D8,D16,D24),CHOOSE({1;2;3},D8,D16,D24),0))-5)</f>
        <v>Want Long Range</v>
      </c>
      <c r="M10" s="17" t="str">
        <f ca="1">INDIRECT("$A" &amp; (8*MATCH(MIN(E8,E16,E24),CHOOSE({1;2;3},E8,E16,E24),0))-5)</f>
        <v>Want Medium Range</v>
      </c>
      <c r="N10" s="21" t="str">
        <f ca="1">INDIRECT("$A" &amp; (8*MATCH(MIN(F8,F16,F24),CHOOSE({1;2;3},F8,F16,F24),0))-5)</f>
        <v>Want Medium Range</v>
      </c>
    </row>
    <row r="11" spans="1:19" x14ac:dyDescent="0.25">
      <c r="A11" s="1" t="s">
        <v>26</v>
      </c>
      <c r="C11" s="15"/>
      <c r="D11" s="19"/>
      <c r="E11" s="15"/>
      <c r="F11" s="19"/>
      <c r="J11" s="1"/>
      <c r="K11" s="6"/>
      <c r="L11" s="6"/>
      <c r="M11" s="6"/>
      <c r="N11" s="6"/>
    </row>
    <row r="12" spans="1:19" x14ac:dyDescent="0.25">
      <c r="A12" s="3" t="s">
        <v>23</v>
      </c>
      <c r="B12" t="s">
        <v>31</v>
      </c>
      <c r="C12" s="15">
        <f t="shared" ref="C12:F12" ca="1" si="4">3-INDIRECT("'"&amp;C$3&amp;"'!B12")-INDIRECT("'"&amp;C$3&amp;"'!B13")-INDIRECT("'"&amp;C$3&amp;"'!B13")</f>
        <v>2.62</v>
      </c>
      <c r="D12" s="19">
        <f t="shared" ca="1" si="4"/>
        <v>2.1</v>
      </c>
      <c r="E12" s="15">
        <f t="shared" ca="1" si="4"/>
        <v>0.37999999999999989</v>
      </c>
      <c r="F12" s="19">
        <f t="shared" ca="1" si="4"/>
        <v>1.38</v>
      </c>
      <c r="J12" s="1"/>
      <c r="K12" s="5" t="s">
        <v>95</v>
      </c>
      <c r="L12" s="6">
        <v>32</v>
      </c>
      <c r="M12" s="5"/>
      <c r="N12" s="5"/>
    </row>
    <row r="13" spans="1:19" x14ac:dyDescent="0.25">
      <c r="A13" s="3" t="s">
        <v>24</v>
      </c>
      <c r="B13" t="s">
        <v>30</v>
      </c>
      <c r="C13" s="15">
        <f ca="1">3*(1-INDIRECT("'"&amp;C$3&amp;"'!B12"))</f>
        <v>1.8599999999999999</v>
      </c>
      <c r="D13" s="19">
        <f t="shared" ref="D13:F13" ca="1" si="5">3*(1-INDIRECT("'"&amp;D$3&amp;"'!B12"))</f>
        <v>0.29999999999999993</v>
      </c>
      <c r="E13" s="15">
        <f t="shared" ca="1" si="5"/>
        <v>1.1400000000000001</v>
      </c>
      <c r="F13" s="19">
        <f t="shared" ca="1" si="5"/>
        <v>1.8599999999999999</v>
      </c>
      <c r="J13" s="1" t="s">
        <v>85</v>
      </c>
      <c r="O13" s="1" t="s">
        <v>84</v>
      </c>
    </row>
    <row r="14" spans="1:19" x14ac:dyDescent="0.25">
      <c r="A14" s="3" t="s">
        <v>25</v>
      </c>
      <c r="B14" t="s">
        <v>33</v>
      </c>
      <c r="C14" s="15">
        <f ca="1">3-INDIRECT("'"&amp;C$3&amp;"'!B11")-INDIRECT("'"&amp;C$3&amp;"'!B12")-INDIRECT("'"&amp;C$3&amp;"'!B12")</f>
        <v>1.62</v>
      </c>
      <c r="D14" s="19">
        <f t="shared" ref="D14:F14" ca="1" si="6">3-INDIRECT("'"&amp;D$3&amp;"'!B11")-INDIRECT("'"&amp;D$3&amp;"'!B12")-INDIRECT("'"&amp;D$3&amp;"'!B12")</f>
        <v>0.20000000000000007</v>
      </c>
      <c r="E14" s="15">
        <f t="shared" ca="1" si="6"/>
        <v>1.7599999999999998</v>
      </c>
      <c r="F14" s="19">
        <f t="shared" ca="1" si="6"/>
        <v>2.2400000000000002</v>
      </c>
      <c r="J14" s="1" t="s">
        <v>79</v>
      </c>
      <c r="K14" s="15">
        <f ca="1">INDIRECT("'"&amp;K$3&amp;"'!F"&amp;L12)</f>
        <v>1344</v>
      </c>
      <c r="L14" s="19">
        <f ca="1">INDIRECT("'"&amp;L$3&amp;"'!F"&amp;L12)</f>
        <v>2028</v>
      </c>
      <c r="M14" s="15">
        <f ca="1">INDIRECT("'"&amp;M$3&amp;"'!F"&amp;L12)</f>
        <v>1965</v>
      </c>
      <c r="N14" s="19">
        <f ca="1">INDIRECT("'"&amp;N$3&amp;"'!F"&amp;L12)</f>
        <v>1380</v>
      </c>
      <c r="O14">
        <f ca="1">SUM(K14:N14)/4</f>
        <v>1679.25</v>
      </c>
      <c r="R14">
        <f ca="1">S9/O14</f>
        <v>1.0046151555754057</v>
      </c>
    </row>
    <row r="15" spans="1:19" x14ac:dyDescent="0.25">
      <c r="B15" s="3" t="s">
        <v>42</v>
      </c>
      <c r="C15" s="23">
        <f ca="1">SUM(C12:C14)</f>
        <v>6.1000000000000005</v>
      </c>
      <c r="D15" s="26">
        <f ca="1">SUM(D12:D14)</f>
        <v>2.6</v>
      </c>
      <c r="E15" s="23">
        <f ca="1">SUM(E12:E14)</f>
        <v>3.28</v>
      </c>
      <c r="F15" s="26">
        <f ca="1">SUM(F12:F14)</f>
        <v>5.48</v>
      </c>
      <c r="J15" s="1" t="s">
        <v>80</v>
      </c>
      <c r="K15" s="15">
        <f ca="1">INDIRECT("'"&amp;K$3&amp;"'!G"&amp;L12)</f>
        <v>1075.2</v>
      </c>
      <c r="L15" s="19">
        <f ca="1">INDIRECT("'"&amp;L$3&amp;"'!G"&amp;L12)</f>
        <v>202.79999999999995</v>
      </c>
      <c r="M15" s="15">
        <f ca="1">INDIRECT("'"&amp;M$3&amp;"'!G"&amp;L12)</f>
        <v>1768.5</v>
      </c>
      <c r="N15" s="19">
        <f ca="1">INDIRECT("'"&amp;N$3&amp;"'!G"&amp;L12)</f>
        <v>414.00000000000011</v>
      </c>
      <c r="O15">
        <f t="shared" ref="O15:O17" ca="1" si="7">SUM(K15:N15)/4</f>
        <v>865.125</v>
      </c>
    </row>
    <row r="16" spans="1:19" x14ac:dyDescent="0.25">
      <c r="B16" s="3" t="s">
        <v>48</v>
      </c>
      <c r="C16" s="24">
        <f ca="1">((((C12-(C15/3))^2) + ((C13-(C15/3))^2) + (C14-(C15/3))^2))/3</f>
        <v>0.18168888888888893</v>
      </c>
      <c r="D16" s="27">
        <f ca="1">((((D12-(D15/3))^2) + ((D13-(D15/3))^2) + (D14-(D15/3))^2))/3</f>
        <v>0.76222222222222236</v>
      </c>
      <c r="E16" s="24">
        <f ca="1">((((E12-(E15/3))^2) + ((E13-(E15/3))^2) + (E14-(E15/3))^2))/3</f>
        <v>0.31848888888888888</v>
      </c>
      <c r="F16" s="27">
        <f ca="1">((((F12-(F15/3))^2) + ((F13-(F15/3))^2) + (F14-(F15/3))^2))/3</f>
        <v>0.12382222222222232</v>
      </c>
      <c r="G16" s="3">
        <f ca="1">SUM(C15:F15)</f>
        <v>17.46</v>
      </c>
      <c r="H16" s="3"/>
      <c r="I16" s="3"/>
      <c r="J16" s="1" t="s">
        <v>81</v>
      </c>
      <c r="K16" s="15">
        <f ca="1">INDIRECT("'"&amp;K$3&amp;"'!H"&amp;L12)</f>
        <v>403.20000000000005</v>
      </c>
      <c r="L16" s="19">
        <f ca="1">INDIRECT("'"&amp;L$3&amp;"'!H"&amp;L12)</f>
        <v>1825.2</v>
      </c>
      <c r="M16" s="15">
        <f ca="1">INDIRECT("'"&amp;M$3&amp;"'!H"&amp;L12)</f>
        <v>196.5</v>
      </c>
      <c r="N16" s="19">
        <f ca="1">INDIRECT("'"&amp;N$3&amp;"'!H"&amp;L12)</f>
        <v>1104</v>
      </c>
      <c r="O16">
        <f t="shared" ca="1" si="7"/>
        <v>882.22500000000002</v>
      </c>
    </row>
    <row r="17" spans="1:16" x14ac:dyDescent="0.25">
      <c r="B17" s="3" t="s">
        <v>49</v>
      </c>
      <c r="C17" s="24">
        <f ca="1">3-C15/3</f>
        <v>0.96666666666666634</v>
      </c>
      <c r="D17" s="27">
        <f ca="1">3-D15/3</f>
        <v>2.1333333333333333</v>
      </c>
      <c r="E17" s="24">
        <f ca="1">3-E15/3</f>
        <v>1.9066666666666667</v>
      </c>
      <c r="F17" s="27">
        <f ca="1">3-F15/3</f>
        <v>1.1733333333333331</v>
      </c>
      <c r="G17" s="3"/>
      <c r="H17" s="3"/>
      <c r="I17" s="3"/>
      <c r="J17" s="1" t="s">
        <v>82</v>
      </c>
      <c r="K17" s="15">
        <f ca="1">INDIRECT("'"&amp;K$3&amp;"'!I"&amp;L12)</f>
        <v>322.56000000000006</v>
      </c>
      <c r="L17" s="19">
        <f ca="1">INDIRECT("'"&amp;L$3&amp;"'!I"&amp;L12)</f>
        <v>182.51999999999995</v>
      </c>
      <c r="M17" s="15">
        <f ca="1">INDIRECT("'"&amp;M$3&amp;"'!I"&amp;L12)</f>
        <v>176.84999999999991</v>
      </c>
      <c r="N17" s="19">
        <f ca="1">INDIRECT("'"&amp;N$3&amp;"'!I"&amp;L12)</f>
        <v>331.2000000000001</v>
      </c>
      <c r="O17">
        <f t="shared" ca="1" si="7"/>
        <v>253.28250000000003</v>
      </c>
    </row>
    <row r="18" spans="1:16" x14ac:dyDescent="0.25">
      <c r="B18" s="3"/>
      <c r="C18" s="23"/>
      <c r="D18" s="26"/>
      <c r="E18" s="23"/>
      <c r="F18" s="26"/>
      <c r="G18" s="3"/>
      <c r="H18" s="3"/>
      <c r="I18" s="3"/>
      <c r="J18" s="7"/>
    </row>
    <row r="19" spans="1:16" x14ac:dyDescent="0.25">
      <c r="A19" s="1" t="s">
        <v>27</v>
      </c>
      <c r="C19" s="15"/>
      <c r="D19" s="19"/>
      <c r="E19" s="15"/>
      <c r="F19" s="19"/>
      <c r="G19" s="3"/>
      <c r="H19" s="3"/>
      <c r="I19" s="3"/>
      <c r="J19" s="2" t="s">
        <v>86</v>
      </c>
      <c r="K19" s="22">
        <f ca="1">(INDIRECT("$C" &amp; (8*MATCH(MAX(C7,C15,C23),CHOOSE({1;2;3},C7,C15,C23),0))-1)/3)*(K$14+2*K$15+2*K$16+K$17)/6</f>
        <v>1957.2224000000003</v>
      </c>
      <c r="L19" s="25">
        <f ca="1">(INDIRECT("$D" &amp; (8*MATCH(MAX(D7,D15,D23),CHOOSE({1;2;3},D7,D15,D23),0))-1)/3)*(L$14+2*L$15+2*L$16+L$17)/6</f>
        <v>2158.4679999999994</v>
      </c>
      <c r="M19" s="22">
        <f ca="1">(INDIRECT("$E" &amp; (8*MATCH(MAX(E7,E15,E23),CHOOSE({1;2;3},E7,E15,E23),0))-1)/3)*(M$14+2*M$15+2*M$16+M$17)/6</f>
        <v>2071.1754999999998</v>
      </c>
      <c r="N19" s="25">
        <f ca="1">(INDIRECT("$F" &amp; (8*MATCH(MAX(F7,F15,F23),CHOOSE({1;2;3},F7,F15,F23),0))-1)/3)*(N$14+2*N$15+2*N$16+N$17)/6</f>
        <v>1909.4293333333335</v>
      </c>
      <c r="P19" s="7" t="s">
        <v>83</v>
      </c>
    </row>
    <row r="20" spans="1:16" x14ac:dyDescent="0.25">
      <c r="A20" s="3" t="s">
        <v>23</v>
      </c>
      <c r="B20" t="s">
        <v>32</v>
      </c>
      <c r="C20" s="15">
        <f t="shared" ref="C20:F20" ca="1" si="8">3-INDIRECT("'"&amp;C$3&amp;"'!B11")-INDIRECT("'"&amp;C$3&amp;"'!B12")-INDIRECT("'"&amp;C$3&amp;"'!B13")</f>
        <v>2</v>
      </c>
      <c r="D20" s="19">
        <f t="shared" ca="1" si="8"/>
        <v>1.1000000000000001</v>
      </c>
      <c r="E20" s="15">
        <f t="shared" ca="1" si="8"/>
        <v>1.38</v>
      </c>
      <c r="F20" s="19">
        <f t="shared" ca="1" si="8"/>
        <v>2</v>
      </c>
      <c r="G20" s="3"/>
      <c r="H20" s="3"/>
      <c r="I20" s="3"/>
    </row>
    <row r="21" spans="1:16" x14ac:dyDescent="0.25">
      <c r="A21" s="3" t="s">
        <v>24</v>
      </c>
      <c r="B21" t="s">
        <v>33</v>
      </c>
      <c r="C21" s="15">
        <f t="shared" ref="C21:F21" ca="1" si="9">3-INDIRECT("'"&amp;C$3&amp;"'!B11")-INDIRECT("'"&amp;C$3&amp;"'!B12")-INDIRECT("'"&amp;C$3&amp;"'!B12")</f>
        <v>1.62</v>
      </c>
      <c r="D21" s="19">
        <f t="shared" ca="1" si="9"/>
        <v>0.20000000000000007</v>
      </c>
      <c r="E21" s="15">
        <f t="shared" ca="1" si="9"/>
        <v>1.7599999999999998</v>
      </c>
      <c r="F21" s="19">
        <f t="shared" ca="1" si="9"/>
        <v>2.2400000000000002</v>
      </c>
      <c r="J21" t="s">
        <v>87</v>
      </c>
      <c r="K21">
        <f ca="1">(INDIRECT("$C" &amp; (8*MATCH(MAX(C7,C15,C23),CHOOSE({1;2;3},C7,C15,C23),0))-1)/3)*($K$14+2*$K$15+2*$K$16+$K$17)/6</f>
        <v>1957.2224000000003</v>
      </c>
      <c r="L21">
        <f ca="1">(INDIRECT("$C" &amp; (8*MATCH(MAX(D7,D15,D23),CHOOSE({1;2;3},D7,D15,D23),0))-1)/3)*($K$14+2*$K$15+2*$K$16+$K$17)/6</f>
        <v>1957.2224000000003</v>
      </c>
      <c r="M21">
        <f ca="1">(INDIRECT("$C" &amp; (8*MATCH(MAX(E7,E15,E23),CHOOSE({1;2;3},E7,E15,E23),0))-1)/3)*($K$14+2*$K$15+2*$K$16+$K$17)/6</f>
        <v>1222.6218666666668</v>
      </c>
      <c r="N21">
        <f ca="1">(INDIRECT("$C" &amp; (8*MATCH(MAX(F7,F15,F23),CHOOSE({1;2;3},F7,F15,F23),0))-1)/3)*($K$14+2*$K$15+2*$K$16+$K$17)/6</f>
        <v>1222.6218666666668</v>
      </c>
    </row>
    <row r="22" spans="1:16" x14ac:dyDescent="0.25">
      <c r="A22" s="3" t="s">
        <v>25</v>
      </c>
      <c r="B22" t="s">
        <v>29</v>
      </c>
      <c r="C22" s="15">
        <f ca="1">3*(1-INDIRECT("'"&amp;C$3&amp;"'!B11"))</f>
        <v>1.1400000000000001</v>
      </c>
      <c r="D22" s="19">
        <f t="shared" ref="D22:F22" ca="1" si="10">3*(1-INDIRECT("'"&amp;D$3&amp;"'!B11"))</f>
        <v>0</v>
      </c>
      <c r="E22" s="15">
        <f t="shared" ca="1" si="10"/>
        <v>3</v>
      </c>
      <c r="F22" s="19">
        <f t="shared" ca="1" si="10"/>
        <v>3</v>
      </c>
      <c r="J22" t="s">
        <v>88</v>
      </c>
      <c r="K22">
        <f ca="1">(INDIRECT("$D" &amp; (8*MATCH(MAX(C7,C15,C23),CHOOSE({1;2;3},C7,C15,C23),0))-1)/3)*($L$14+2*$L$15+2*$L$16+$L$17)/6</f>
        <v>2158.4679999999994</v>
      </c>
      <c r="L22">
        <f ca="1">(INDIRECT("$D" &amp; (8*MATCH(MAX(D7,D15,D23),CHOOSE({1;2;3},D7,D15,D23),0))-1)/3)*($L$14+2*$L$15+2*$L$16+$L$17)/6</f>
        <v>2158.4679999999994</v>
      </c>
      <c r="M22">
        <f ca="1">(INDIRECT("$D" &amp; (8*MATCH(MAX(E7,E15,E23),CHOOSE({1;2;3},E7,E15,E23),0))-1)/3)*($L$14+2*$L$15+2*$L$16+$L$17)/6</f>
        <v>452.58200000000005</v>
      </c>
      <c r="N22">
        <f ca="1">(INDIRECT("$D" &amp; (8*MATCH(MAX(F7,F15,F23),CHOOSE({1;2;3},F7,F15,F23),0))-1)/3)*($L$14+2*$L$15+2*$L$16+$L$17)/6</f>
        <v>452.58200000000005</v>
      </c>
    </row>
    <row r="23" spans="1:16" x14ac:dyDescent="0.25">
      <c r="B23" s="3" t="s">
        <v>42</v>
      </c>
      <c r="C23" s="23">
        <f ca="1">SUM(C20:C22)</f>
        <v>4.76</v>
      </c>
      <c r="D23" s="26">
        <f t="shared" ref="D23" ca="1" si="11">SUM(D20:D22)</f>
        <v>1.3000000000000003</v>
      </c>
      <c r="E23" s="23">
        <f t="shared" ref="E23" ca="1" si="12">SUM(E20:E22)</f>
        <v>6.14</v>
      </c>
      <c r="F23" s="26">
        <f t="shared" ref="F23" ca="1" si="13">SUM(F20:F22)</f>
        <v>7.24</v>
      </c>
      <c r="J23" t="s">
        <v>89</v>
      </c>
      <c r="K23">
        <f ca="1">(INDIRECT("$E" &amp; (8*MATCH(MAX(C7,C15,C23),CHOOSE({1;2;3},C7,C15,C23),0))-1)/3)*($M$14+2*$M$15+2*$M$16+$M$17)/6</f>
        <v>593.69199999999989</v>
      </c>
      <c r="L23">
        <f ca="1">(INDIRECT("$E" &amp; (8*MATCH(MAX(D7,D15,D23),CHOOSE({1;2;3},D7,D15,D23),0))-1)/3)*($M$14+2*$M$15+2*$M$16+$M$17)/6</f>
        <v>593.69199999999989</v>
      </c>
      <c r="M23">
        <f ca="1">(INDIRECT("$E" &amp; (8*MATCH(MAX(E7,E15,E23),CHOOSE({1;2;3},E7,E15,E23),0))-1)/3)*($M$14+2*$M$15+2*$M$16+$M$17)/6</f>
        <v>2071.1754999999998</v>
      </c>
      <c r="N23">
        <f ca="1">(INDIRECT("$E" &amp; (8*MATCH(MAX(F7,F15,F23),CHOOSE({1;2;3},F7,F15,F23),0))-1)/3)*($M$14+2*$M$15+2*$M$16+$M$17)/6</f>
        <v>2071.1754999999998</v>
      </c>
    </row>
    <row r="24" spans="1:16" x14ac:dyDescent="0.25">
      <c r="B24" s="3" t="s">
        <v>48</v>
      </c>
      <c r="C24" s="24">
        <f ca="1">((((C20-(C23/3))^2) + ((C21-(C23/3))^2) + (C22-(C23/3))^2))/3</f>
        <v>0.12382222222222218</v>
      </c>
      <c r="D24" s="27">
        <f ca="1">((((D20-(D23/3))^2) + ((D21-(D23/3))^2) + (D22-(D23/3))^2))/3</f>
        <v>0.22888888888888895</v>
      </c>
      <c r="E24" s="24">
        <f ca="1">((((E20-(E23/3))^2) + ((E21-(E23/3))^2) + (E22-(E23/3))^2))/3</f>
        <v>0.47848888888888896</v>
      </c>
      <c r="F24" s="27">
        <f ca="1">((((F20-(F23/3))^2) + ((F21-(F23/3))^2) + (F22-(F23/3))^2))/3</f>
        <v>0.18168888888888887</v>
      </c>
      <c r="J24" t="s">
        <v>90</v>
      </c>
      <c r="K24">
        <f ca="1">(INDIRECT("$F" &amp; (8*MATCH(MAX(C7,C15,C23),CHOOSE({1;2;3},C7,C15,C23),0))-1)/3)*($N$14+2*$N$15+2*$N$16+$N$17)/6</f>
        <v>1192.0746666666666</v>
      </c>
      <c r="L24">
        <f ca="1">(INDIRECT("$F" &amp; (8*MATCH(MAX(D7,D15,D23),CHOOSE({1;2;3},D7,D15,D23),0))-1)/3)*($N$14+2*$N$15+2*$N$16+$N$17)/6</f>
        <v>1192.0746666666666</v>
      </c>
      <c r="M24">
        <f ca="1">(INDIRECT("$F" &amp; (8*MATCH(MAX(E7,E15,E23),CHOOSE({1;2;3},E7,E15,E23),0))-1)/3)*($N$14+2*$N$15+2*$N$16+$N$17)/6</f>
        <v>1909.4293333333335</v>
      </c>
      <c r="N24">
        <f ca="1">(INDIRECT("$F" &amp; (8*MATCH(MAX(F7,F15,F23),CHOOSE({1;2;3},F7,F15,F23),0))-1)/3)*($N$14+2*$N$15+2*$N$16+$N$17)/6</f>
        <v>1909.4293333333335</v>
      </c>
    </row>
    <row r="25" spans="1:16" x14ac:dyDescent="0.25">
      <c r="B25" s="3" t="s">
        <v>49</v>
      </c>
      <c r="C25" s="24">
        <f ca="1">3-C23/3</f>
        <v>1.4133333333333333</v>
      </c>
      <c r="D25" s="27">
        <f ca="1">3-D23/3</f>
        <v>2.5666666666666664</v>
      </c>
      <c r="E25" s="24">
        <f ca="1">3-E23/3</f>
        <v>0.95333333333333359</v>
      </c>
      <c r="F25" s="27">
        <f ca="1">3-F23/3</f>
        <v>0.58666666666666645</v>
      </c>
      <c r="G25" s="3">
        <f ca="1">SUM(C23:F23)</f>
        <v>19.439999999999998</v>
      </c>
      <c r="H25" s="3"/>
      <c r="I25" s="3"/>
      <c r="J25" s="2" t="s">
        <v>91</v>
      </c>
      <c r="K25" s="15">
        <f ca="1">SUM(K21:K24)/4</f>
        <v>1475.3642666666665</v>
      </c>
      <c r="L25" s="19">
        <f ca="1">SUM(L21:L24)/4</f>
        <v>1475.3642666666665</v>
      </c>
      <c r="M25" s="15">
        <f ca="1">SUM(M21:M24)/4</f>
        <v>1413.9521750000001</v>
      </c>
      <c r="N25" s="19">
        <f ca="1">SUM(N21:N24)/4</f>
        <v>1413.9521750000001</v>
      </c>
      <c r="O25" s="7"/>
    </row>
    <row r="26" spans="1:16" x14ac:dyDescent="0.25">
      <c r="B26" s="1" t="s">
        <v>47</v>
      </c>
      <c r="C26" s="15">
        <f ca="1">C$7+C$15+C$23</f>
        <v>18.48</v>
      </c>
      <c r="D26" s="19">
        <f ca="1">D$7+D$15+D$23</f>
        <v>10.1</v>
      </c>
      <c r="E26" s="15">
        <f ca="1">E$7+E$15+E$23</f>
        <v>11.18</v>
      </c>
      <c r="F26" s="19">
        <f ca="1">F$7+F$15+F$23</f>
        <v>17.240000000000002</v>
      </c>
      <c r="G26" s="3"/>
      <c r="H26" s="3"/>
      <c r="I26" s="3"/>
      <c r="O26" s="7"/>
    </row>
    <row r="27" spans="1:16" x14ac:dyDescent="0.25">
      <c r="B27" s="1"/>
      <c r="G27" s="3"/>
      <c r="H27" s="3"/>
      <c r="I27" s="3"/>
      <c r="J27" s="12" t="s">
        <v>53</v>
      </c>
      <c r="K27" s="13">
        <f ca="1">K19/K25</f>
        <v>1.3266028222453903</v>
      </c>
      <c r="L27" s="13">
        <f ca="1">L19/L25</f>
        <v>1.4630068307650483</v>
      </c>
      <c r="M27" s="13">
        <f ca="1">M19/M25</f>
        <v>1.4648129806794912</v>
      </c>
      <c r="N27" s="13">
        <f ca="1">N19/N25</f>
        <v>1.3504200262879</v>
      </c>
      <c r="O27" s="8"/>
    </row>
    <row r="28" spans="1:16" x14ac:dyDescent="0.25">
      <c r="B28" s="1"/>
    </row>
    <row r="30" spans="1:16" x14ac:dyDescent="0.25">
      <c r="K30" s="2"/>
      <c r="L30" s="2"/>
      <c r="M30" s="2"/>
      <c r="N30" s="2"/>
    </row>
    <row r="31" spans="1:16" x14ac:dyDescent="0.25">
      <c r="A31" s="4" t="s">
        <v>9</v>
      </c>
    </row>
    <row r="32" spans="1:16" x14ac:dyDescent="0.25">
      <c r="A32">
        <v>16</v>
      </c>
      <c r="J32" s="9"/>
      <c r="K32" s="10"/>
      <c r="L32" s="10"/>
      <c r="M32" s="10"/>
      <c r="N32" s="10"/>
    </row>
    <row r="33" spans="1:14" x14ac:dyDescent="0.25">
      <c r="J33" s="10"/>
      <c r="K33" s="9"/>
      <c r="L33" s="9"/>
      <c r="M33" s="9"/>
      <c r="N33" s="9"/>
    </row>
    <row r="34" spans="1:14" x14ac:dyDescent="0.25">
      <c r="J34" s="11"/>
      <c r="K34" s="9"/>
      <c r="L34" s="9"/>
      <c r="M34" s="9"/>
      <c r="N34" s="9"/>
    </row>
    <row r="35" spans="1:14" x14ac:dyDescent="0.25">
      <c r="J35" s="11"/>
      <c r="K35" s="9"/>
      <c r="L35" s="9"/>
      <c r="M35" s="9"/>
      <c r="N35" s="9"/>
    </row>
    <row r="36" spans="1:14" x14ac:dyDescent="0.25">
      <c r="A36" s="4" t="s">
        <v>34</v>
      </c>
      <c r="J36" s="11"/>
      <c r="K36" s="9"/>
      <c r="L36" s="9"/>
      <c r="M36" s="9"/>
      <c r="N36" s="9"/>
    </row>
    <row r="37" spans="1:14" x14ac:dyDescent="0.25">
      <c r="A37">
        <v>19</v>
      </c>
      <c r="J37" s="11"/>
      <c r="K37" s="9"/>
      <c r="L37" s="9"/>
      <c r="M37" s="9"/>
      <c r="N37" s="9"/>
    </row>
    <row r="38" spans="1:14" x14ac:dyDescent="0.25">
      <c r="J38" s="10"/>
      <c r="K38" s="9"/>
      <c r="L38" s="9"/>
      <c r="M38" s="9"/>
      <c r="N38" s="9"/>
    </row>
    <row r="39" spans="1:14" x14ac:dyDescent="0.25">
      <c r="J39" s="11"/>
      <c r="K39" s="9"/>
      <c r="L39" s="9"/>
      <c r="M39" s="9"/>
      <c r="N39" s="9"/>
    </row>
    <row r="40" spans="1:14" x14ac:dyDescent="0.25">
      <c r="J40" s="11"/>
      <c r="K40" s="9"/>
      <c r="L40" s="9"/>
      <c r="M40" s="9"/>
      <c r="N40" s="9"/>
    </row>
    <row r="41" spans="1:14" x14ac:dyDescent="0.25">
      <c r="A41" s="4" t="s">
        <v>35</v>
      </c>
      <c r="J41" s="11"/>
      <c r="K41" s="9"/>
      <c r="L41" s="9"/>
      <c r="M41" s="9"/>
      <c r="N41" s="9"/>
    </row>
    <row r="42" spans="1:14" x14ac:dyDescent="0.25">
      <c r="A42">
        <v>20</v>
      </c>
      <c r="J42" s="11"/>
      <c r="K42" s="9"/>
      <c r="L42" s="9"/>
      <c r="M42" s="9"/>
      <c r="N42" s="9"/>
    </row>
    <row r="43" spans="1:14" x14ac:dyDescent="0.25">
      <c r="J43" s="10"/>
      <c r="K43" s="9"/>
      <c r="L43" s="9"/>
      <c r="M43" s="9"/>
      <c r="N43" s="9"/>
    </row>
    <row r="44" spans="1:14" x14ac:dyDescent="0.25">
      <c r="J44" s="11"/>
      <c r="K44" s="9"/>
      <c r="L44" s="9"/>
      <c r="M44" s="9"/>
      <c r="N44" s="9"/>
    </row>
    <row r="45" spans="1:14" x14ac:dyDescent="0.25">
      <c r="J45" s="11"/>
      <c r="K45" s="9"/>
      <c r="L45" s="9"/>
      <c r="M45" s="9"/>
      <c r="N45" s="9"/>
    </row>
    <row r="46" spans="1:14" x14ac:dyDescent="0.25">
      <c r="A46" s="4" t="s">
        <v>36</v>
      </c>
      <c r="J46" s="11"/>
      <c r="K46" s="9"/>
      <c r="L46" s="9"/>
      <c r="M46" s="9"/>
      <c r="N46" s="9"/>
    </row>
    <row r="47" spans="1:14" x14ac:dyDescent="0.25">
      <c r="A47">
        <v>23</v>
      </c>
      <c r="J47" s="11"/>
      <c r="K47" s="9"/>
      <c r="L47" s="9"/>
      <c r="M47" s="9"/>
      <c r="N47" s="9"/>
    </row>
    <row r="48" spans="1:14" x14ac:dyDescent="0.25">
      <c r="J48" s="10"/>
      <c r="K48" s="9"/>
      <c r="L48" s="9"/>
      <c r="M48" s="9"/>
      <c r="N48" s="9"/>
    </row>
    <row r="49" spans="1:14" x14ac:dyDescent="0.25">
      <c r="J49" s="11"/>
      <c r="K49" s="9"/>
      <c r="L49" s="9"/>
      <c r="M49" s="9"/>
      <c r="N49" s="9"/>
    </row>
    <row r="50" spans="1:14" x14ac:dyDescent="0.25">
      <c r="J50" s="11"/>
      <c r="K50" s="9"/>
      <c r="L50" s="9"/>
      <c r="M50" s="9"/>
      <c r="N50" s="9"/>
    </row>
    <row r="51" spans="1:14" x14ac:dyDescent="0.25">
      <c r="A51" s="4" t="s">
        <v>37</v>
      </c>
      <c r="J51" s="11"/>
      <c r="K51" s="9"/>
      <c r="L51" s="9"/>
      <c r="M51" s="9"/>
      <c r="N51" s="9"/>
    </row>
    <row r="52" spans="1:14" x14ac:dyDescent="0.25">
      <c r="A52">
        <v>24</v>
      </c>
      <c r="J52" s="11"/>
      <c r="K52" s="9"/>
      <c r="L52" s="9"/>
      <c r="M52" s="9"/>
      <c r="N52" s="9"/>
    </row>
    <row r="53" spans="1:14" x14ac:dyDescent="0.25">
      <c r="J53" s="10"/>
      <c r="K53" s="9"/>
      <c r="L53" s="9"/>
      <c r="M53" s="9"/>
      <c r="N53" s="9"/>
    </row>
    <row r="54" spans="1:14" x14ac:dyDescent="0.25">
      <c r="J54" s="11"/>
      <c r="K54" s="9"/>
      <c r="L54" s="9"/>
      <c r="M54" s="9"/>
      <c r="N54" s="9"/>
    </row>
    <row r="55" spans="1:14" x14ac:dyDescent="0.25">
      <c r="J55" s="11"/>
      <c r="K55" s="9"/>
      <c r="L55" s="9"/>
      <c r="M55" s="9"/>
      <c r="N55" s="9"/>
    </row>
    <row r="56" spans="1:14" x14ac:dyDescent="0.25">
      <c r="A56" s="4" t="s">
        <v>38</v>
      </c>
      <c r="J56" s="11"/>
      <c r="K56" s="9"/>
      <c r="L56" s="9"/>
      <c r="M56" s="9"/>
      <c r="N56" s="9"/>
    </row>
    <row r="57" spans="1:14" x14ac:dyDescent="0.25">
      <c r="A57">
        <v>27</v>
      </c>
      <c r="J57" s="11"/>
      <c r="K57" s="9"/>
      <c r="L57" s="9"/>
      <c r="M57" s="9"/>
      <c r="N57" s="9"/>
    </row>
    <row r="58" spans="1:14" x14ac:dyDescent="0.25">
      <c r="J58" s="10"/>
      <c r="K58" s="9"/>
      <c r="L58" s="9"/>
      <c r="M58" s="9"/>
      <c r="N58" s="9"/>
    </row>
    <row r="59" spans="1:14" x14ac:dyDescent="0.25">
      <c r="J59" s="11"/>
      <c r="K59" s="9"/>
      <c r="L59" s="9"/>
      <c r="M59" s="9"/>
      <c r="N59" s="9"/>
    </row>
    <row r="60" spans="1:14" x14ac:dyDescent="0.25">
      <c r="J60" s="11"/>
      <c r="K60" s="9"/>
      <c r="L60" s="9"/>
      <c r="M60" s="9"/>
      <c r="N60" s="9"/>
    </row>
    <row r="61" spans="1:14" x14ac:dyDescent="0.25">
      <c r="A61" s="4" t="s">
        <v>39</v>
      </c>
      <c r="J61" s="11"/>
      <c r="K61" s="9"/>
      <c r="L61" s="9"/>
      <c r="M61" s="9"/>
      <c r="N61" s="9"/>
    </row>
    <row r="62" spans="1:14" x14ac:dyDescent="0.25">
      <c r="A62">
        <v>28</v>
      </c>
      <c r="J62" s="11"/>
      <c r="K62" s="9"/>
      <c r="L62" s="9"/>
      <c r="M62" s="9"/>
      <c r="N62" s="9"/>
    </row>
    <row r="63" spans="1:14" x14ac:dyDescent="0.25">
      <c r="J63" s="10"/>
      <c r="K63" s="9"/>
      <c r="L63" s="9"/>
      <c r="M63" s="9"/>
      <c r="N63" s="9"/>
    </row>
    <row r="64" spans="1:14" x14ac:dyDescent="0.25">
      <c r="J64" s="11"/>
      <c r="K64" s="9"/>
      <c r="L64" s="9"/>
      <c r="M64" s="9"/>
      <c r="N64" s="9"/>
    </row>
    <row r="65" spans="1:14" x14ac:dyDescent="0.25">
      <c r="J65" s="11"/>
      <c r="K65" s="9"/>
      <c r="L65" s="9"/>
      <c r="M65" s="9"/>
      <c r="N65" s="9"/>
    </row>
    <row r="66" spans="1:14" x14ac:dyDescent="0.25">
      <c r="A66" s="4" t="s">
        <v>40</v>
      </c>
      <c r="J66" s="11"/>
      <c r="K66" s="9"/>
      <c r="L66" s="9"/>
      <c r="M66" s="9"/>
      <c r="N66" s="9"/>
    </row>
    <row r="67" spans="1:14" x14ac:dyDescent="0.25">
      <c r="A67">
        <v>31</v>
      </c>
      <c r="J67" s="11"/>
      <c r="K67" s="9"/>
      <c r="L67" s="9"/>
      <c r="M67" s="9"/>
      <c r="N67" s="9"/>
    </row>
    <row r="68" spans="1:14" x14ac:dyDescent="0.25">
      <c r="J68" s="10"/>
      <c r="K68" s="9"/>
      <c r="L68" s="9"/>
      <c r="M68" s="9"/>
      <c r="N68" s="9"/>
    </row>
    <row r="69" spans="1:14" x14ac:dyDescent="0.25">
      <c r="J69" s="11"/>
      <c r="K69" s="9"/>
      <c r="L69" s="9"/>
      <c r="M69" s="9"/>
      <c r="N69" s="9"/>
    </row>
    <row r="70" spans="1:14" x14ac:dyDescent="0.25">
      <c r="J70" s="11"/>
      <c r="K70" s="9"/>
      <c r="L70" s="9"/>
      <c r="M70" s="9"/>
      <c r="N70" s="9"/>
    </row>
    <row r="71" spans="1:14" x14ac:dyDescent="0.25">
      <c r="A71" s="4" t="s">
        <v>43</v>
      </c>
      <c r="J71" s="11"/>
      <c r="K71" s="9"/>
      <c r="L71" s="9"/>
      <c r="M71" s="9"/>
      <c r="N71" s="9"/>
    </row>
    <row r="72" spans="1:14" x14ac:dyDescent="0.25">
      <c r="A72">
        <v>32</v>
      </c>
      <c r="J72" s="11"/>
      <c r="K72" s="9"/>
      <c r="L72" s="9"/>
      <c r="M72" s="9"/>
      <c r="N72" s="9"/>
    </row>
    <row r="73" spans="1:14" x14ac:dyDescent="0.25">
      <c r="J73" s="10"/>
      <c r="K73" s="9"/>
      <c r="L73" s="9"/>
      <c r="M73" s="9"/>
      <c r="N73" s="9"/>
    </row>
    <row r="74" spans="1:14" x14ac:dyDescent="0.25">
      <c r="J74" s="11"/>
      <c r="K74" s="9"/>
      <c r="L74" s="9"/>
      <c r="M74" s="9"/>
      <c r="N74" s="9"/>
    </row>
    <row r="75" spans="1:14" x14ac:dyDescent="0.25">
      <c r="J75" s="11"/>
      <c r="K75" s="9"/>
      <c r="L75" s="9"/>
      <c r="M75" s="9"/>
      <c r="N75" s="9"/>
    </row>
    <row r="76" spans="1:14" x14ac:dyDescent="0.25">
      <c r="J76" s="11"/>
      <c r="K76" s="9"/>
      <c r="L76" s="9"/>
      <c r="M76" s="9"/>
      <c r="N76" s="9"/>
    </row>
    <row r="77" spans="1:14" x14ac:dyDescent="0.25">
      <c r="J77" s="11"/>
      <c r="K77" s="9"/>
      <c r="L77" s="9"/>
      <c r="M77" s="9"/>
      <c r="N77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" sqref="G1"/>
    </sheetView>
  </sheetViews>
  <sheetFormatPr defaultRowHeight="15" x14ac:dyDescent="0.25"/>
  <cols>
    <col min="1" max="1" width="20.28515625" bestFit="1" customWidth="1"/>
  </cols>
  <sheetData>
    <row r="1" spans="1:3" x14ac:dyDescent="0.25">
      <c r="A1" s="1" t="s">
        <v>54</v>
      </c>
    </row>
    <row r="2" spans="1:3" x14ac:dyDescent="0.25">
      <c r="A2" t="s">
        <v>55</v>
      </c>
    </row>
    <row r="4" spans="1:3" x14ac:dyDescent="0.25">
      <c r="A4" t="s">
        <v>59</v>
      </c>
      <c r="B4">
        <v>50</v>
      </c>
    </row>
    <row r="6" spans="1:3" x14ac:dyDescent="0.25">
      <c r="A6" t="s">
        <v>56</v>
      </c>
      <c r="B6">
        <v>500</v>
      </c>
      <c r="C6" s="3" t="s">
        <v>74</v>
      </c>
    </row>
    <row r="7" spans="1:3" x14ac:dyDescent="0.25">
      <c r="A7" t="s">
        <v>57</v>
      </c>
      <c r="B7">
        <v>1500</v>
      </c>
      <c r="C7" s="3" t="s">
        <v>74</v>
      </c>
    </row>
    <row r="8" spans="1:3" x14ac:dyDescent="0.25">
      <c r="A8" t="s">
        <v>58</v>
      </c>
      <c r="B8">
        <v>4500</v>
      </c>
      <c r="C8" s="3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E24" sqref="E24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  <col min="4" max="4" width="7" bestFit="1" customWidth="1"/>
  </cols>
  <sheetData>
    <row r="1" spans="1:20" x14ac:dyDescent="0.25">
      <c r="A1" s="2" t="s">
        <v>60</v>
      </c>
    </row>
    <row r="2" spans="1:20" x14ac:dyDescent="0.25">
      <c r="A2" s="2"/>
    </row>
    <row r="3" spans="1:20" x14ac:dyDescent="0.25">
      <c r="A3" s="1" t="s">
        <v>9</v>
      </c>
      <c r="B3" s="7" t="s">
        <v>70</v>
      </c>
      <c r="C3" s="7" t="s">
        <v>71</v>
      </c>
      <c r="D3" s="7" t="s">
        <v>72</v>
      </c>
      <c r="H3" t="s">
        <v>98</v>
      </c>
      <c r="K3" t="s">
        <v>99</v>
      </c>
      <c r="L3" t="s">
        <v>100</v>
      </c>
      <c r="M3" t="s">
        <v>101</v>
      </c>
      <c r="N3" t="s">
        <v>102</v>
      </c>
      <c r="O3" t="s">
        <v>103</v>
      </c>
      <c r="P3" t="s">
        <v>104</v>
      </c>
      <c r="R3" t="s">
        <v>105</v>
      </c>
      <c r="S3" t="s">
        <v>106</v>
      </c>
      <c r="T3" t="s">
        <v>107</v>
      </c>
    </row>
    <row r="4" spans="1:20" x14ac:dyDescent="0.25">
      <c r="A4" t="s">
        <v>61</v>
      </c>
      <c r="B4" s="29">
        <v>10</v>
      </c>
      <c r="C4" s="29">
        <v>5</v>
      </c>
      <c r="D4" s="29">
        <v>232</v>
      </c>
      <c r="G4">
        <f>$C4/(50+$C4)</f>
        <v>9.0909090909090912E-2</v>
      </c>
      <c r="H4">
        <f>375*0.8</f>
        <v>300</v>
      </c>
      <c r="I4">
        <f>(G4+1)*D4*2</f>
        <v>506.18181818181813</v>
      </c>
      <c r="K4" s="30">
        <f>$C4/(50+$C4)</f>
        <v>9.0909090909090912E-2</v>
      </c>
      <c r="L4" s="30">
        <f>B4+500+(1+K4)*$D4</f>
        <v>763.09090909090901</v>
      </c>
      <c r="M4">
        <f>2*$C4/(50+2*$C4)</f>
        <v>0.16666666666666666</v>
      </c>
      <c r="N4">
        <f>B4+1500+(1+M4)*$D4*2</f>
        <v>2051.3333333333335</v>
      </c>
      <c r="O4">
        <f>4*$C4/(50+4*$C4)</f>
        <v>0.2857142857142857</v>
      </c>
      <c r="P4">
        <f>B4+4500+(1+O4)*$D4*4</f>
        <v>5703.1428571428569</v>
      </c>
      <c r="R4">
        <f>L4/500</f>
        <v>1.5261818181818181</v>
      </c>
      <c r="S4">
        <f>N4/1500</f>
        <v>1.3675555555555556</v>
      </c>
      <c r="T4">
        <f>P4/4500</f>
        <v>1.2673650793650793</v>
      </c>
    </row>
    <row r="6" spans="1:20" x14ac:dyDescent="0.25">
      <c r="A6" s="1" t="s">
        <v>11</v>
      </c>
    </row>
    <row r="7" spans="1:20" x14ac:dyDescent="0.25">
      <c r="A7" t="s">
        <v>62</v>
      </c>
      <c r="B7" s="29">
        <v>10</v>
      </c>
      <c r="C7" s="29">
        <v>10</v>
      </c>
      <c r="D7" s="29">
        <v>263</v>
      </c>
      <c r="F7">
        <f>G7-G4</f>
        <v>7.5757575757575746E-2</v>
      </c>
      <c r="G7">
        <f>C7/(50+C7)</f>
        <v>0.16666666666666666</v>
      </c>
      <c r="H7">
        <f>0.8*439.285714285714</f>
        <v>351.42857142857122</v>
      </c>
      <c r="I7">
        <f>(G7+1)*D7*2</f>
        <v>613.66666666666674</v>
      </c>
      <c r="K7" s="30">
        <f>$C7/(50+$C7)</f>
        <v>0.16666666666666666</v>
      </c>
      <c r="L7" s="30">
        <f>B7+500+(1+K7)*$D7</f>
        <v>816.83333333333337</v>
      </c>
      <c r="M7">
        <f>2*$C7/(50+2*$C7)</f>
        <v>0.2857142857142857</v>
      </c>
      <c r="N7">
        <f t="shared" ref="N5:N20" si="0">B7+1500+(1+M7)*$D7*2</f>
        <v>2186.2857142857142</v>
      </c>
      <c r="O7">
        <f t="shared" ref="O5:O20" si="1">4*$C7/(50+4*$C7)</f>
        <v>0.44444444444444442</v>
      </c>
      <c r="P7">
        <f>B7+4500+(1+O7)*$D7*4</f>
        <v>6029.5555555555557</v>
      </c>
      <c r="R7">
        <f t="shared" ref="R5:R20" si="2">L7/500</f>
        <v>1.6336666666666668</v>
      </c>
      <c r="S7">
        <f t="shared" ref="S5:S20" si="3">N7/1500</f>
        <v>1.4575238095238094</v>
      </c>
      <c r="T7">
        <f t="shared" ref="T5:T20" si="4">P7/4500</f>
        <v>1.3399012345679013</v>
      </c>
    </row>
    <row r="8" spans="1:20" x14ac:dyDescent="0.25">
      <c r="A8" t="s">
        <v>67</v>
      </c>
      <c r="B8" s="29">
        <v>26</v>
      </c>
      <c r="C8" s="29">
        <v>10</v>
      </c>
      <c r="D8" s="29">
        <v>300</v>
      </c>
      <c r="G8">
        <f>C8/(50+C8)</f>
        <v>0.16666666666666666</v>
      </c>
      <c r="H8">
        <f>0.8*632.142857142857</f>
        <v>505.71428571428561</v>
      </c>
      <c r="I8">
        <f>(G8+1)*D8*2</f>
        <v>700</v>
      </c>
      <c r="K8" s="30">
        <f>$C8/(50+$C8)</f>
        <v>0.16666666666666666</v>
      </c>
      <c r="L8" s="30">
        <f>B8+500+(1+K8)*$D8</f>
        <v>876</v>
      </c>
      <c r="M8">
        <f t="shared" ref="M5:M20" si="5">2*$C8/(50+2*$C8)</f>
        <v>0.2857142857142857</v>
      </c>
      <c r="N8">
        <f t="shared" si="0"/>
        <v>2297.4285714285716</v>
      </c>
      <c r="O8">
        <f t="shared" si="1"/>
        <v>0.44444444444444442</v>
      </c>
      <c r="P8">
        <f>B8+4500+(1+O8)*$D8*4</f>
        <v>6259.333333333333</v>
      </c>
      <c r="R8">
        <f t="shared" si="2"/>
        <v>1.752</v>
      </c>
      <c r="S8">
        <f t="shared" si="3"/>
        <v>1.5316190476190477</v>
      </c>
      <c r="T8">
        <f t="shared" si="4"/>
        <v>1.390962962962963</v>
      </c>
    </row>
    <row r="10" spans="1:20" x14ac:dyDescent="0.25">
      <c r="A10" s="1" t="s">
        <v>13</v>
      </c>
    </row>
    <row r="11" spans="1:20" x14ac:dyDescent="0.25">
      <c r="A11" t="s">
        <v>63</v>
      </c>
      <c r="B11" s="29">
        <v>10</v>
      </c>
      <c r="C11" s="29">
        <v>15</v>
      </c>
      <c r="D11" s="29">
        <v>400</v>
      </c>
      <c r="F11">
        <f>G11-G7</f>
        <v>6.4102564102564125E-2</v>
      </c>
      <c r="G11">
        <f>C11/(50+C11)</f>
        <v>0.23076923076923078</v>
      </c>
      <c r="H11">
        <f>0.8*567.857142857143</f>
        <v>454.28571428571445</v>
      </c>
      <c r="I11">
        <f>(G11+1)*D11*2</f>
        <v>984.61538461538464</v>
      </c>
      <c r="K11">
        <f>$C11/(50+$C11)</f>
        <v>0.23076923076923078</v>
      </c>
      <c r="L11">
        <f>B11+500+(1+K11)*$D11</f>
        <v>1002.3076923076924</v>
      </c>
      <c r="M11" s="30">
        <f t="shared" si="5"/>
        <v>0.375</v>
      </c>
      <c r="N11" s="30">
        <f t="shared" si="0"/>
        <v>2610</v>
      </c>
      <c r="O11">
        <f t="shared" si="1"/>
        <v>0.54545454545454541</v>
      </c>
      <c r="P11">
        <f>B11+4500+(1+O11)*$D11*4</f>
        <v>6982.7272727272721</v>
      </c>
      <c r="R11">
        <f t="shared" si="2"/>
        <v>2.0046153846153847</v>
      </c>
      <c r="S11">
        <f t="shared" si="3"/>
        <v>1.74</v>
      </c>
      <c r="T11">
        <f t="shared" si="4"/>
        <v>1.5517171717171716</v>
      </c>
    </row>
    <row r="12" spans="1:20" x14ac:dyDescent="0.25">
      <c r="A12" t="s">
        <v>68</v>
      </c>
      <c r="B12" s="29">
        <v>34</v>
      </c>
      <c r="C12" s="29">
        <v>15</v>
      </c>
      <c r="D12" s="29">
        <v>442</v>
      </c>
      <c r="G12">
        <f>C12/(50+C12)</f>
        <v>0.23076923076923078</v>
      </c>
      <c r="H12">
        <f>0.8*867.857142857143</f>
        <v>694.28571428571445</v>
      </c>
      <c r="I12">
        <f>(G12+1)*D12*2</f>
        <v>1088</v>
      </c>
      <c r="K12">
        <f>$C12/(50+$C12)</f>
        <v>0.23076923076923078</v>
      </c>
      <c r="L12">
        <f>B12+500+(1+K12)*$D12</f>
        <v>1078</v>
      </c>
      <c r="M12" s="30">
        <f t="shared" si="5"/>
        <v>0.375</v>
      </c>
      <c r="N12" s="30">
        <f t="shared" si="0"/>
        <v>2749.5</v>
      </c>
      <c r="O12">
        <f t="shared" si="1"/>
        <v>0.54545454545454541</v>
      </c>
      <c r="P12">
        <f>B12+4500+(1+O12)*$D12*4</f>
        <v>7266.363636363636</v>
      </c>
      <c r="R12">
        <f t="shared" si="2"/>
        <v>2.1560000000000001</v>
      </c>
      <c r="S12">
        <f t="shared" si="3"/>
        <v>1.833</v>
      </c>
      <c r="T12">
        <f t="shared" si="4"/>
        <v>1.6147474747474746</v>
      </c>
    </row>
    <row r="14" spans="1:20" x14ac:dyDescent="0.25">
      <c r="A14" s="1" t="s">
        <v>14</v>
      </c>
    </row>
    <row r="15" spans="1:20" x14ac:dyDescent="0.25">
      <c r="A15" t="s">
        <v>64</v>
      </c>
      <c r="B15" s="29">
        <v>10</v>
      </c>
      <c r="C15" s="29">
        <v>20</v>
      </c>
      <c r="D15" s="29">
        <v>427</v>
      </c>
      <c r="F15">
        <f>G15-G11</f>
        <v>5.4945054945054916E-2</v>
      </c>
      <c r="G15">
        <f>C15/(50+C15)</f>
        <v>0.2857142857142857</v>
      </c>
      <c r="H15">
        <f>0.8*760.714285714286</f>
        <v>608.57142857142878</v>
      </c>
      <c r="I15">
        <f>(G15+1)*D15*2</f>
        <v>1098</v>
      </c>
      <c r="K15">
        <f>$C15/(50+$C15)</f>
        <v>0.2857142857142857</v>
      </c>
      <c r="L15">
        <f>B15+500+(1+K15)*$D15</f>
        <v>1059</v>
      </c>
      <c r="M15" s="30">
        <f t="shared" si="5"/>
        <v>0.44444444444444442</v>
      </c>
      <c r="N15" s="30">
        <f t="shared" si="0"/>
        <v>2743.5555555555557</v>
      </c>
      <c r="O15">
        <f t="shared" si="1"/>
        <v>0.61538461538461542</v>
      </c>
      <c r="P15">
        <f>B15+4500+(1+O15)*$D15*4</f>
        <v>7269.0769230769238</v>
      </c>
      <c r="R15">
        <f t="shared" si="2"/>
        <v>2.1179999999999999</v>
      </c>
      <c r="S15">
        <f t="shared" si="3"/>
        <v>1.829037037037037</v>
      </c>
      <c r="T15">
        <f t="shared" si="4"/>
        <v>1.6153504273504276</v>
      </c>
    </row>
    <row r="16" spans="1:20" x14ac:dyDescent="0.25">
      <c r="A16" t="s">
        <v>69</v>
      </c>
      <c r="B16" s="29">
        <v>50</v>
      </c>
      <c r="C16" s="29">
        <v>20</v>
      </c>
      <c r="D16" s="29">
        <v>463</v>
      </c>
      <c r="G16">
        <f>C16/(50+C16)</f>
        <v>0.2857142857142857</v>
      </c>
      <c r="H16">
        <f>0.8*1189.28571428571</f>
        <v>951.42857142856792</v>
      </c>
      <c r="I16">
        <f>(G16+1)*D16*2</f>
        <v>1190.5714285714284</v>
      </c>
      <c r="K16">
        <f>$C16/(50+$C16)</f>
        <v>0.2857142857142857</v>
      </c>
      <c r="L16">
        <f>B16+500+(1+K16)*$D16</f>
        <v>1145.2857142857142</v>
      </c>
      <c r="M16" s="30">
        <f t="shared" si="5"/>
        <v>0.44444444444444442</v>
      </c>
      <c r="N16" s="30">
        <f t="shared" si="0"/>
        <v>2887.5555555555557</v>
      </c>
      <c r="O16">
        <f t="shared" si="1"/>
        <v>0.61538461538461542</v>
      </c>
      <c r="P16">
        <f>B16+4500+(1+O16)*$D16*4</f>
        <v>7541.6923076923076</v>
      </c>
      <c r="R16">
        <f t="shared" si="2"/>
        <v>2.2905714285714285</v>
      </c>
      <c r="S16">
        <f t="shared" si="3"/>
        <v>1.9250370370370371</v>
      </c>
      <c r="T16">
        <f t="shared" si="4"/>
        <v>1.675931623931624</v>
      </c>
    </row>
    <row r="18" spans="1:20" x14ac:dyDescent="0.25">
      <c r="A18" s="1" t="s">
        <v>15</v>
      </c>
    </row>
    <row r="19" spans="1:20" x14ac:dyDescent="0.25">
      <c r="A19" t="s">
        <v>65</v>
      </c>
      <c r="B19" s="29">
        <v>10</v>
      </c>
      <c r="C19" s="29">
        <v>25</v>
      </c>
      <c r="D19" s="29">
        <v>648</v>
      </c>
      <c r="F19">
        <f>G19-G15</f>
        <v>4.7619047619047616E-2</v>
      </c>
      <c r="G19">
        <f>C19/(50+C19)</f>
        <v>0.33333333333333331</v>
      </c>
      <c r="H19">
        <f>0.8*1082.14285714286</f>
        <v>865.71428571428805</v>
      </c>
      <c r="I19">
        <f>(G19+1)*D19*2</f>
        <v>1728</v>
      </c>
      <c r="K19">
        <f>$C19/(50+$C19)</f>
        <v>0.33333333333333331</v>
      </c>
      <c r="L19">
        <f>B19+500+(1+K19)*$D19</f>
        <v>1374</v>
      </c>
      <c r="M19">
        <f t="shared" si="5"/>
        <v>0.5</v>
      </c>
      <c r="N19">
        <f t="shared" si="0"/>
        <v>3454</v>
      </c>
      <c r="O19" s="30">
        <f t="shared" si="1"/>
        <v>0.66666666666666663</v>
      </c>
      <c r="P19" s="30">
        <f>B19+4500+(1+O19)*$D19*4</f>
        <v>8830</v>
      </c>
      <c r="R19">
        <f t="shared" si="2"/>
        <v>2.7480000000000002</v>
      </c>
      <c r="S19">
        <f t="shared" si="3"/>
        <v>2.3026666666666666</v>
      </c>
      <c r="T19">
        <f t="shared" si="4"/>
        <v>1.9622222222222223</v>
      </c>
    </row>
    <row r="20" spans="1:20" x14ac:dyDescent="0.25">
      <c r="A20" t="s">
        <v>66</v>
      </c>
      <c r="B20" s="29">
        <v>72</v>
      </c>
      <c r="C20" s="29">
        <v>25</v>
      </c>
      <c r="D20" s="29">
        <v>690</v>
      </c>
      <c r="G20">
        <f>C20/(50+C20)</f>
        <v>0.33333333333333331</v>
      </c>
      <c r="H20">
        <f>0.8*1767.85714285714</f>
        <v>1414.2857142857119</v>
      </c>
      <c r="I20">
        <f>(G20+1)*D20*2</f>
        <v>1840</v>
      </c>
      <c r="K20">
        <f>$C20/(50+$C20)</f>
        <v>0.33333333333333331</v>
      </c>
      <c r="L20">
        <f>B20+500+(1+K20)*$D20</f>
        <v>1492</v>
      </c>
      <c r="M20">
        <f t="shared" si="5"/>
        <v>0.5</v>
      </c>
      <c r="N20">
        <f t="shared" si="0"/>
        <v>3642</v>
      </c>
      <c r="O20" s="30">
        <f t="shared" si="1"/>
        <v>0.66666666666666663</v>
      </c>
      <c r="P20" s="30">
        <f>B20+4500+(1+O20)*$D20*4</f>
        <v>9172</v>
      </c>
      <c r="R20">
        <f t="shared" si="2"/>
        <v>2.984</v>
      </c>
      <c r="S20">
        <f t="shared" si="3"/>
        <v>2.4279999999999999</v>
      </c>
      <c r="T20">
        <f t="shared" si="4"/>
        <v>2.0382222222222222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U3" sqref="U3:W20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</cols>
  <sheetData>
    <row r="1" spans="1:24" x14ac:dyDescent="0.25">
      <c r="A1" s="2" t="s">
        <v>73</v>
      </c>
    </row>
    <row r="2" spans="1:24" x14ac:dyDescent="0.25">
      <c r="A2" s="2"/>
    </row>
    <row r="3" spans="1:24" x14ac:dyDescent="0.25">
      <c r="A3" s="1" t="s">
        <v>9</v>
      </c>
      <c r="B3" s="7" t="s">
        <v>70</v>
      </c>
      <c r="C3" s="7" t="s">
        <v>71</v>
      </c>
      <c r="M3" t="s">
        <v>99</v>
      </c>
      <c r="N3" t="s">
        <v>100</v>
      </c>
      <c r="O3" t="s">
        <v>101</v>
      </c>
      <c r="P3" t="s">
        <v>102</v>
      </c>
      <c r="Q3" t="s">
        <v>103</v>
      </c>
      <c r="R3" t="s">
        <v>104</v>
      </c>
      <c r="U3" t="s">
        <v>105</v>
      </c>
      <c r="V3" t="s">
        <v>106</v>
      </c>
      <c r="W3" t="s">
        <v>107</v>
      </c>
    </row>
    <row r="4" spans="1:24" x14ac:dyDescent="0.25">
      <c r="A4" t="s">
        <v>61</v>
      </c>
      <c r="B4" s="29">
        <v>200</v>
      </c>
      <c r="C4">
        <v>5</v>
      </c>
      <c r="M4" s="30">
        <f>C4/(50+C4)</f>
        <v>9.0909090909090912E-2</v>
      </c>
      <c r="N4" s="30">
        <f>(1+M4)*(B4+500)</f>
        <v>763.63636363636363</v>
      </c>
      <c r="O4">
        <f>2*C4/(50+2*C4)</f>
        <v>0.16666666666666666</v>
      </c>
      <c r="P4">
        <f>(1+O4)*(2*B4+1500)</f>
        <v>2216.666666666667</v>
      </c>
      <c r="Q4">
        <f>4*C4/(50+4*C4)</f>
        <v>0.2857142857142857</v>
      </c>
      <c r="R4">
        <f>(1+Q4)*(4*B4+4500)</f>
        <v>6814.2857142857138</v>
      </c>
      <c r="S4">
        <f>(N4-500-10)/(T4)</f>
        <v>217.40260982560366</v>
      </c>
      <c r="T4">
        <v>1.1666666000000001</v>
      </c>
      <c r="U4">
        <f>N4/500</f>
        <v>1.5272727272727273</v>
      </c>
      <c r="V4">
        <f>P4/1500</f>
        <v>1.4777777777777781</v>
      </c>
      <c r="W4">
        <f>R4/4500</f>
        <v>1.5142857142857142</v>
      </c>
      <c r="X4" t="s">
        <v>108</v>
      </c>
    </row>
    <row r="5" spans="1:24" x14ac:dyDescent="0.25">
      <c r="N5" s="9"/>
    </row>
    <row r="6" spans="1:24" x14ac:dyDescent="0.25">
      <c r="A6" s="1" t="s">
        <v>11</v>
      </c>
      <c r="N6" s="9"/>
    </row>
    <row r="7" spans="1:24" x14ac:dyDescent="0.25">
      <c r="A7" t="s">
        <v>62</v>
      </c>
      <c r="B7" s="29">
        <v>200</v>
      </c>
      <c r="C7" s="29">
        <v>10</v>
      </c>
      <c r="M7" s="30">
        <f t="shared" ref="M5:M20" si="0">C7/(50+C7)</f>
        <v>0.16666666666666666</v>
      </c>
      <c r="N7" s="30">
        <f t="shared" ref="N5:N20" si="1">(1+M7)*(B7+500)</f>
        <v>816.66666666666674</v>
      </c>
      <c r="O7">
        <f t="shared" ref="O5:O20" si="2">2*C7/(50+2*C7)</f>
        <v>0.2857142857142857</v>
      </c>
      <c r="P7">
        <f>(1+O7)*(2*B7+1500)</f>
        <v>2442.8571428571427</v>
      </c>
      <c r="Q7">
        <f t="shared" ref="Q5:Q20" si="3">4*C7/(50+4*C7)</f>
        <v>0.44444444444444442</v>
      </c>
      <c r="R7">
        <f>(1+Q7)*(4*B7+4500)</f>
        <v>7655.5555555555557</v>
      </c>
      <c r="S7">
        <f>(N7-500-10)/(T7)</f>
        <v>238.51851851851964</v>
      </c>
      <c r="T7">
        <v>1.28571428571428</v>
      </c>
      <c r="U7">
        <f>N7/500</f>
        <v>1.6333333333333335</v>
      </c>
      <c r="V7">
        <f>P7/1500</f>
        <v>1.6285714285714283</v>
      </c>
      <c r="W7">
        <f>R7/4500</f>
        <v>1.7012345679012346</v>
      </c>
      <c r="X7" t="s">
        <v>109</v>
      </c>
    </row>
    <row r="8" spans="1:24" x14ac:dyDescent="0.25">
      <c r="A8" t="s">
        <v>67</v>
      </c>
      <c r="B8" s="29">
        <v>250</v>
      </c>
      <c r="C8" s="29">
        <v>10</v>
      </c>
      <c r="M8" s="30">
        <f t="shared" si="0"/>
        <v>0.16666666666666666</v>
      </c>
      <c r="N8" s="30">
        <f t="shared" si="1"/>
        <v>875</v>
      </c>
      <c r="O8">
        <f t="shared" si="2"/>
        <v>0.2857142857142857</v>
      </c>
      <c r="P8">
        <f>(1+O8)*(2*B8+1500)</f>
        <v>2571.4285714285711</v>
      </c>
      <c r="Q8">
        <f t="shared" si="3"/>
        <v>0.44444444444444442</v>
      </c>
      <c r="R8">
        <f>(1+Q8)*(4*B8+4500)</f>
        <v>7944.4444444444443</v>
      </c>
      <c r="S8">
        <f>(N8-500-26)/(T8)</f>
        <v>271.44444444444565</v>
      </c>
      <c r="T8">
        <v>1.28571428571428</v>
      </c>
      <c r="U8">
        <f>N8/500</f>
        <v>1.75</v>
      </c>
      <c r="V8">
        <f>P8/1500</f>
        <v>1.714285714285714</v>
      </c>
      <c r="W8">
        <f>R8/4500</f>
        <v>1.7654320987654322</v>
      </c>
      <c r="X8" t="s">
        <v>110</v>
      </c>
    </row>
    <row r="9" spans="1:24" x14ac:dyDescent="0.25">
      <c r="N9" s="9"/>
    </row>
    <row r="10" spans="1:24" x14ac:dyDescent="0.25">
      <c r="A10" s="1" t="s">
        <v>13</v>
      </c>
      <c r="N10" s="9"/>
    </row>
    <row r="11" spans="1:24" x14ac:dyDescent="0.25">
      <c r="A11" t="s">
        <v>63</v>
      </c>
      <c r="B11" s="29">
        <v>200</v>
      </c>
      <c r="C11" s="29">
        <v>15</v>
      </c>
      <c r="M11">
        <f t="shared" si="0"/>
        <v>0.23076923076923078</v>
      </c>
      <c r="N11" s="9">
        <f t="shared" si="1"/>
        <v>861.53846153846155</v>
      </c>
      <c r="O11" s="30">
        <f t="shared" si="2"/>
        <v>0.375</v>
      </c>
      <c r="P11" s="30">
        <f>(1+O11)*(2*B11+1500)</f>
        <v>2612.5</v>
      </c>
      <c r="Q11">
        <f t="shared" si="3"/>
        <v>0.54545454545454541</v>
      </c>
      <c r="R11">
        <f>(1+Q11)*(4*B11+4500)</f>
        <v>8190.909090909091</v>
      </c>
      <c r="S11">
        <f>(P11-1500-10)/(2*1.375)</f>
        <v>400.90909090909093</v>
      </c>
      <c r="U11">
        <f>N11/500</f>
        <v>1.7230769230769232</v>
      </c>
      <c r="V11">
        <f>P11/1500</f>
        <v>1.7416666666666667</v>
      </c>
      <c r="W11">
        <f>R11/4500</f>
        <v>1.8202020202020202</v>
      </c>
      <c r="X11" t="s">
        <v>111</v>
      </c>
    </row>
    <row r="12" spans="1:24" x14ac:dyDescent="0.25">
      <c r="A12" t="s">
        <v>68</v>
      </c>
      <c r="B12" s="29">
        <v>250</v>
      </c>
      <c r="C12" s="29">
        <v>15</v>
      </c>
      <c r="M12">
        <f t="shared" si="0"/>
        <v>0.23076923076923078</v>
      </c>
      <c r="N12" s="9">
        <f t="shared" si="1"/>
        <v>923.07692307692309</v>
      </c>
      <c r="O12" s="30">
        <f t="shared" si="2"/>
        <v>0.375</v>
      </c>
      <c r="P12" s="30">
        <f>(1+O12)*(2*B12+1500)</f>
        <v>2750</v>
      </c>
      <c r="Q12">
        <f t="shared" si="3"/>
        <v>0.54545454545454541</v>
      </c>
      <c r="R12">
        <f>(1+Q12)*(4*B12+4500)</f>
        <v>8500</v>
      </c>
      <c r="S12">
        <f>(P12-1500-34)/(2*1.375)</f>
        <v>442.18181818181819</v>
      </c>
      <c r="U12">
        <f>N12/500</f>
        <v>1.8461538461538463</v>
      </c>
      <c r="V12">
        <f>P12/1500</f>
        <v>1.8333333333333333</v>
      </c>
      <c r="W12">
        <f>R12/4500</f>
        <v>1.8888888888888888</v>
      </c>
      <c r="X12" t="s">
        <v>112</v>
      </c>
    </row>
    <row r="13" spans="1:24" x14ac:dyDescent="0.25">
      <c r="N13" s="9"/>
    </row>
    <row r="14" spans="1:24" x14ac:dyDescent="0.25">
      <c r="A14" s="1" t="s">
        <v>14</v>
      </c>
      <c r="N14" s="9"/>
    </row>
    <row r="15" spans="1:24" x14ac:dyDescent="0.25">
      <c r="A15" t="s">
        <v>64</v>
      </c>
      <c r="B15" s="29">
        <v>200</v>
      </c>
      <c r="C15" s="29">
        <v>20</v>
      </c>
      <c r="M15">
        <f t="shared" si="0"/>
        <v>0.2857142857142857</v>
      </c>
      <c r="N15" s="9">
        <f t="shared" si="1"/>
        <v>899.99999999999989</v>
      </c>
      <c r="O15" s="30">
        <f t="shared" si="2"/>
        <v>0.44444444444444442</v>
      </c>
      <c r="P15" s="30">
        <f>(1+O15)*(2*B15+1500)</f>
        <v>2744.4444444444443</v>
      </c>
      <c r="Q15">
        <f t="shared" si="3"/>
        <v>0.61538461538461542</v>
      </c>
      <c r="R15">
        <f>(1+Q15)*(4*B15+4500)</f>
        <v>8561.538461538461</v>
      </c>
      <c r="S15">
        <f>(P15-1500-10)/(2*1.444444)</f>
        <v>427.30782378702264</v>
      </c>
      <c r="U15">
        <f>N15/500</f>
        <v>1.7999999999999998</v>
      </c>
      <c r="V15">
        <f>P15/1500</f>
        <v>1.8296296296296295</v>
      </c>
      <c r="W15">
        <f>R15/4500</f>
        <v>1.9025641025641025</v>
      </c>
      <c r="X15" t="s">
        <v>113</v>
      </c>
    </row>
    <row r="16" spans="1:24" x14ac:dyDescent="0.25">
      <c r="A16" t="s">
        <v>69</v>
      </c>
      <c r="B16" s="29">
        <v>250</v>
      </c>
      <c r="C16" s="29">
        <v>20</v>
      </c>
      <c r="M16">
        <f t="shared" si="0"/>
        <v>0.2857142857142857</v>
      </c>
      <c r="N16" s="9">
        <f t="shared" si="1"/>
        <v>964.28571428571422</v>
      </c>
      <c r="O16" s="30">
        <f t="shared" si="2"/>
        <v>0.44444444444444442</v>
      </c>
      <c r="P16" s="30">
        <f>(1+O16)*(2*B16+1500)</f>
        <v>2888.8888888888887</v>
      </c>
      <c r="Q16">
        <f t="shared" si="3"/>
        <v>0.61538461538461542</v>
      </c>
      <c r="R16">
        <f>(1+Q16)*(4*B16+4500)</f>
        <v>8884.6153846153848</v>
      </c>
      <c r="S16">
        <f>(P16-1500-50)/(2*1.444444)</f>
        <v>463.46168106513255</v>
      </c>
      <c r="U16">
        <f>N16/500</f>
        <v>1.9285714285714284</v>
      </c>
      <c r="V16">
        <f>P16/1500</f>
        <v>1.9259259259259258</v>
      </c>
      <c r="W16">
        <f>R16/4500</f>
        <v>1.9743589743589745</v>
      </c>
      <c r="X16" t="s">
        <v>113</v>
      </c>
    </row>
    <row r="17" spans="1:24" x14ac:dyDescent="0.25">
      <c r="N17" s="9"/>
    </row>
    <row r="18" spans="1:24" x14ac:dyDescent="0.25">
      <c r="A18" s="1" t="s">
        <v>15</v>
      </c>
      <c r="N18" s="9"/>
    </row>
    <row r="19" spans="1:24" x14ac:dyDescent="0.25">
      <c r="A19" t="s">
        <v>65</v>
      </c>
      <c r="B19" s="29">
        <v>200</v>
      </c>
      <c r="C19">
        <v>25</v>
      </c>
      <c r="M19">
        <f t="shared" si="0"/>
        <v>0.33333333333333331</v>
      </c>
      <c r="N19" s="9">
        <f t="shared" si="1"/>
        <v>933.33333333333326</v>
      </c>
      <c r="O19">
        <f t="shared" si="2"/>
        <v>0.5</v>
      </c>
      <c r="P19">
        <f>(1+O19)*(2*B19+1500)</f>
        <v>2850</v>
      </c>
      <c r="Q19" s="30">
        <f t="shared" si="3"/>
        <v>0.66666666666666663</v>
      </c>
      <c r="R19" s="30">
        <f>(1+Q19)*(4*B19+4500)</f>
        <v>8833.3333333333321</v>
      </c>
      <c r="S19">
        <f>(R19-4500-10)/(4*1.66666)</f>
        <v>648.5025940103759</v>
      </c>
      <c r="U19">
        <f>N19/500</f>
        <v>1.8666666666666665</v>
      </c>
      <c r="V19">
        <f>P19/1500</f>
        <v>1.9</v>
      </c>
      <c r="W19">
        <f>R19/4500</f>
        <v>1.9629629629629628</v>
      </c>
      <c r="X19" t="s">
        <v>113</v>
      </c>
    </row>
    <row r="20" spans="1:24" x14ac:dyDescent="0.25">
      <c r="A20" t="s">
        <v>66</v>
      </c>
      <c r="B20" s="29">
        <v>250</v>
      </c>
      <c r="C20" s="29">
        <v>25</v>
      </c>
      <c r="M20">
        <f t="shared" si="0"/>
        <v>0.33333333333333331</v>
      </c>
      <c r="N20" s="9">
        <f t="shared" si="1"/>
        <v>1000</v>
      </c>
      <c r="O20">
        <f t="shared" si="2"/>
        <v>0.5</v>
      </c>
      <c r="P20">
        <f>(1+O20)*(2*B20+1500)</f>
        <v>3000</v>
      </c>
      <c r="Q20" s="30">
        <f t="shared" si="3"/>
        <v>0.66666666666666663</v>
      </c>
      <c r="R20" s="30">
        <f>(1+Q20)*(4*B20+4500)</f>
        <v>9166.6666666666661</v>
      </c>
      <c r="S20">
        <f>(R20-4500-72)/(4*1.66666)</f>
        <v>689.20275681102714</v>
      </c>
      <c r="U20">
        <f>N20/500</f>
        <v>2</v>
      </c>
      <c r="V20">
        <f>P20/1500</f>
        <v>2</v>
      </c>
      <c r="W20">
        <f>R20/4500</f>
        <v>2.0370370370370368</v>
      </c>
      <c r="X2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Kinetic</vt:lpstr>
      <vt:lpstr>Beam</vt:lpstr>
      <vt:lpstr>Missile</vt:lpstr>
      <vt:lpstr>Laser</vt:lpstr>
      <vt:lpstr>Balance</vt:lpstr>
      <vt:lpstr>Ships</vt:lpstr>
      <vt:lpstr>Shield</vt:lpstr>
      <vt:lpstr>Plating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2017-02-09T23:19:04Z</dcterms:modified>
</cp:coreProperties>
</file>